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7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8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39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40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41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worksheets/sheet44.xml" ContentType="application/vnd.openxmlformats-officedocument.spreadsheetml.work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47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worksheets/sheet48.xml" ContentType="application/vnd.openxmlformats-officedocument.spreadsheetml.work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worksheets/sheet49.xml" ContentType="application/vnd.openxmlformats-officedocument.spreadsheetml.work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50.xml" ContentType="application/vnd.openxmlformats-officedocument.spreadsheetml.work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worksheets/sheet51.xml" ContentType="application/vnd.openxmlformats-officedocument.spreadsheetml.work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worksheets/sheet52.xml" ContentType="application/vnd.openxmlformats-officedocument.spreadsheetml.work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worksheets/sheet53.xml" ContentType="application/vnd.openxmlformats-officedocument.spreadsheetml.work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worksheets/sheet56.xml" ContentType="application/vnd.openxmlformats-officedocument.spreadsheetml.work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57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58.xml" ContentType="application/vnd.openxmlformats-officedocument.spreadsheetml.work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worksheets/sheet59.xml" ContentType="application/vnd.openxmlformats-officedocument.spreadsheetml.work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worksheets/sheet60.xml" ContentType="application/vnd.openxmlformats-officedocument.spreadsheetml.worksheet+xml"/>
  <Override PartName="/xl/chartsheets/sheet57.xml" ContentType="application/vnd.openxmlformats-officedocument.spreadsheetml.chartsheet+xml"/>
  <Override PartName="/xl/chartsheets/sheet58.xml" ContentType="application/vnd.openxmlformats-officedocument.spreadsheetml.chart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chartsheets/sheet59.xml" ContentType="application/vnd.openxmlformats-officedocument.spreadsheetml.chartsheet+xml"/>
  <Override PartName="/xl/chartsheets/sheet60.xml" ContentType="application/vnd.openxmlformats-officedocument.spreadsheetml.chartsheet+xml"/>
  <Override PartName="/xl/worksheets/sheet63.xml" ContentType="application/vnd.openxmlformats-officedocument.spreadsheetml.worksheet+xml"/>
  <Override PartName="/xl/chartsheets/sheet61.xml" ContentType="application/vnd.openxmlformats-officedocument.spreadsheetml.chartsheet+xml"/>
  <Override PartName="/xl/chartsheets/sheet62.xml" ContentType="application/vnd.openxmlformats-officedocument.spreadsheetml.chartsheet+xml"/>
  <Override PartName="/xl/worksheets/sheet64.xml" ContentType="application/vnd.openxmlformats-officedocument.spreadsheetml.worksheet+xml"/>
  <Override PartName="/xl/chartsheets/sheet63.xml" ContentType="application/vnd.openxmlformats-officedocument.spreadsheetml.chartsheet+xml"/>
  <Override PartName="/xl/chartsheets/sheet64.xml" ContentType="application/vnd.openxmlformats-officedocument.spreadsheetml.chartsheet+xml"/>
  <Override PartName="/xl/worksheets/sheet65.xml" ContentType="application/vnd.openxmlformats-officedocument.spreadsheetml.worksheet+xml"/>
  <Override PartName="/xl/chartsheets/sheet65.xml" ContentType="application/vnd.openxmlformats-officedocument.spreadsheetml.chartsheet+xml"/>
  <Override PartName="/xl/chartsheets/sheet66.xml" ContentType="application/vnd.openxmlformats-officedocument.spreadsheetml.chartsheet+xml"/>
  <Override PartName="/xl/worksheets/sheet66.xml" ContentType="application/vnd.openxmlformats-officedocument.spreadsheetml.worksheet+xml"/>
  <Override PartName="/xl/chartsheets/sheet67.xml" ContentType="application/vnd.openxmlformats-officedocument.spreadsheetml.chartsheet+xml"/>
  <Override PartName="/xl/chartsheets/sheet68.xml" ContentType="application/vnd.openxmlformats-officedocument.spreadsheetml.chartsheet+xml"/>
  <Override PartName="/xl/worksheets/sheet67.xml" ContentType="application/vnd.openxmlformats-officedocument.spreadsheetml.worksheet+xml"/>
  <Override PartName="/xl/chartsheets/sheet69.xml" ContentType="application/vnd.openxmlformats-officedocument.spreadsheetml.chartsheet+xml"/>
  <Override PartName="/xl/chartsheets/sheet70.xml" ContentType="application/vnd.openxmlformats-officedocument.spreadsheetml.chart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chartsheets/sheet71.xml" ContentType="application/vnd.openxmlformats-officedocument.spreadsheetml.chartsheet+xml"/>
  <Override PartName="/xl/chartsheets/sheet72.xml" ContentType="application/vnd.openxmlformats-officedocument.spreadsheetml.chartsheet+xml"/>
  <Override PartName="/xl/worksheets/sheet70.xml" ContentType="application/vnd.openxmlformats-officedocument.spreadsheetml.worksheet+xml"/>
  <Override PartName="/xl/chartsheets/sheet73.xml" ContentType="application/vnd.openxmlformats-officedocument.spreadsheetml.chartsheet+xml"/>
  <Override PartName="/xl/chartsheets/sheet74.xml" ContentType="application/vnd.openxmlformats-officedocument.spreadsheetml.chartsheet+xml"/>
  <Override PartName="/xl/worksheets/sheet71.xml" ContentType="application/vnd.openxmlformats-officedocument.spreadsheetml.worksheet+xml"/>
  <Override PartName="/xl/chartsheets/sheet75.xml" ContentType="application/vnd.openxmlformats-officedocument.spreadsheetml.chartsheet+xml"/>
  <Override PartName="/xl/chartsheets/sheet76.xml" ContentType="application/vnd.openxmlformats-officedocument.spreadsheetml.chartsheet+xml"/>
  <Override PartName="/xl/worksheets/sheet72.xml" ContentType="application/vnd.openxmlformats-officedocument.spreadsheetml.worksheet+xml"/>
  <Override PartName="/xl/chartsheets/sheet77.xml" ContentType="application/vnd.openxmlformats-officedocument.spreadsheetml.chartsheet+xml"/>
  <Override PartName="/xl/chartsheets/sheet78.xml" ContentType="application/vnd.openxmlformats-officedocument.spreadsheetml.chart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chartsheets/sheet79.xml" ContentType="application/vnd.openxmlformats-officedocument.spreadsheetml.chartsheet+xml"/>
  <Override PartName="/xl/chartsheets/sheet80.xml" ContentType="application/vnd.openxmlformats-officedocument.spreadsheetml.chartsheet+xml"/>
  <Override PartName="/xl/worksheets/sheet75.xml" ContentType="application/vnd.openxmlformats-officedocument.spreadsheetml.worksheet+xml"/>
  <Override PartName="/xl/chartsheets/sheet81.xml" ContentType="application/vnd.openxmlformats-officedocument.spreadsheetml.chartsheet+xml"/>
  <Override PartName="/xl/chartsheets/sheet82.xml" ContentType="application/vnd.openxmlformats-officedocument.spreadsheetml.chartsheet+xml"/>
  <Override PartName="/xl/worksheets/sheet76.xml" ContentType="application/vnd.openxmlformats-officedocument.spreadsheetml.worksheet+xml"/>
  <Override PartName="/xl/chartsheets/sheet83.xml" ContentType="application/vnd.openxmlformats-officedocument.spreadsheetml.chartsheet+xml"/>
  <Override PartName="/xl/chartsheets/sheet84.xml" ContentType="application/vnd.openxmlformats-officedocument.spreadsheetml.chartsheet+xml"/>
  <Override PartName="/xl/worksheets/sheet77.xml" ContentType="application/vnd.openxmlformats-officedocument.spreadsheetml.worksheet+xml"/>
  <Override PartName="/xl/chartsheets/sheet85.xml" ContentType="application/vnd.openxmlformats-officedocument.spreadsheetml.chartsheet+xml"/>
  <Override PartName="/xl/chartsheets/sheet86.xml" ContentType="application/vnd.openxmlformats-officedocument.spreadsheetml.chart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chartsheets/sheet87.xml" ContentType="application/vnd.openxmlformats-officedocument.spreadsheetml.chartsheet+xml"/>
  <Override PartName="/xl/chartsheets/sheet88.xml" ContentType="application/vnd.openxmlformats-officedocument.spreadsheetml.chartsheet+xml"/>
  <Override PartName="/xl/chartsheets/sheet89.xml" ContentType="application/vnd.openxmlformats-officedocument.spreadsheetml.chartsheet+xml"/>
  <Override PartName="/xl/chartsheets/sheet90.xml" ContentType="application/vnd.openxmlformats-officedocument.spreadsheetml.chartsheet+xml"/>
  <Override PartName="/xl/chartsheets/sheet91.xml" ContentType="application/vnd.openxmlformats-officedocument.spreadsheetml.chartsheet+xml"/>
  <Override PartName="/xl/chartsheets/sheet92.xml" ContentType="application/vnd.openxmlformats-officedocument.spreadsheetml.chartsheet+xml"/>
  <Override PartName="/xl/chartsheets/sheet93.xml" ContentType="application/vnd.openxmlformats-officedocument.spreadsheetml.chartsheet+xml"/>
  <Override PartName="/xl/chartsheets/sheet94.xml" ContentType="application/vnd.openxmlformats-officedocument.spreadsheetml.chartsheet+xml"/>
  <Override PartName="/xl/chartsheets/sheet95.xml" ContentType="application/vnd.openxmlformats-officedocument.spreadsheetml.chartsheet+xml"/>
  <Override PartName="/xl/chartsheets/sheet96.xml" ContentType="application/vnd.openxmlformats-officedocument.spreadsheetml.chartsheet+xml"/>
  <Override PartName="/xl/chartsheets/sheet97.xml" ContentType="application/vnd.openxmlformats-officedocument.spreadsheetml.chartsheet+xml"/>
  <Override PartName="/xl/chartsheets/sheet98.xml" ContentType="application/vnd.openxmlformats-officedocument.spreadsheetml.chartsheet+xml"/>
  <Override PartName="/xl/chartsheets/sheet99.xml" ContentType="application/vnd.openxmlformats-officedocument.spreadsheetml.chartsheet+xml"/>
  <Override PartName="/xl/chartsheets/sheet100.xml" ContentType="application/vnd.openxmlformats-officedocument.spreadsheetml.chartsheet+xml"/>
  <Override PartName="/xl/chartsheets/sheet101.xml" ContentType="application/vnd.openxmlformats-officedocument.spreadsheetml.chartsheet+xml"/>
  <Override PartName="/xl/chartsheets/sheet102.xml" ContentType="application/vnd.openxmlformats-officedocument.spreadsheetml.chartsheet+xml"/>
  <Override PartName="/xl/chartsheets/sheet103.xml" ContentType="application/vnd.openxmlformats-officedocument.spreadsheetml.chartsheet+xml"/>
  <Override PartName="/xl/chartsheets/sheet104.xml" ContentType="application/vnd.openxmlformats-officedocument.spreadsheetml.chartsheet+xml"/>
  <Override PartName="/xl/chartsheets/sheet105.xml" ContentType="application/vnd.openxmlformats-officedocument.spreadsheetml.chartsheet+xml"/>
  <Override PartName="/xl/chartsheets/sheet106.xml" ContentType="application/vnd.openxmlformats-officedocument.spreadsheetml.chart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chartsheets/sheet107.xml" ContentType="application/vnd.openxmlformats-officedocument.spreadsheetml.chartsheet+xml"/>
  <Override PartName="/xl/chartsheets/sheet108.xml" ContentType="application/vnd.openxmlformats-officedocument.spreadsheetml.chartsheet+xml"/>
  <Override PartName="/xl/chartsheets/sheet109.xml" ContentType="application/vnd.openxmlformats-officedocument.spreadsheetml.chartsheet+xml"/>
  <Override PartName="/xl/chartsheets/sheet110.xml" ContentType="application/vnd.openxmlformats-officedocument.spreadsheetml.chart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chartsheets/sheet111.xml" ContentType="application/vnd.openxmlformats-officedocument.spreadsheetml.chartsheet+xml"/>
  <Override PartName="/xl/chartsheets/sheet112.xml" ContentType="application/vnd.openxmlformats-officedocument.spreadsheetml.chartsheet+xml"/>
  <Override PartName="/xl/chartsheets/sheet113.xml" ContentType="application/vnd.openxmlformats-officedocument.spreadsheetml.chartsheet+xml"/>
  <Override PartName="/xl/chartsheets/sheet114.xml" ContentType="application/vnd.openxmlformats-officedocument.spreadsheetml.chart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chartsheets/sheet115.xml" ContentType="application/vnd.openxmlformats-officedocument.spreadsheetml.chartsheet+xml"/>
  <Override PartName="/xl/chartsheets/sheet116.xml" ContentType="application/vnd.openxmlformats-officedocument.spreadsheetml.chartsheet+xml"/>
  <Override PartName="/xl/worksheets/sheet96.xml" ContentType="application/vnd.openxmlformats-officedocument.spreadsheetml.worksheet+xml"/>
  <Override PartName="/xl/chartsheets/sheet117.xml" ContentType="application/vnd.openxmlformats-officedocument.spreadsheetml.chartsheet+xml"/>
  <Override PartName="/xl/chartsheets/sheet118.xml" ContentType="application/vnd.openxmlformats-officedocument.spreadsheetml.chartsheet+xml"/>
  <Override PartName="/xl/worksheets/sheet97.xml" ContentType="application/vnd.openxmlformats-officedocument.spreadsheetml.worksheet+xml"/>
  <Override PartName="/xl/chartsheets/sheet119.xml" ContentType="application/vnd.openxmlformats-officedocument.spreadsheetml.chartsheet+xml"/>
  <Override PartName="/xl/chartsheets/sheet120.xml" ContentType="application/vnd.openxmlformats-officedocument.spreadsheetml.chartsheet+xml"/>
  <Override PartName="/xl/chartsheets/sheet121.xml" ContentType="application/vnd.openxmlformats-officedocument.spreadsheetml.chartsheet+xml"/>
  <Override PartName="/xl/chartsheets/sheet122.xml" ContentType="application/vnd.openxmlformats-officedocument.spreadsheetml.chartsheet+xml"/>
  <Override PartName="/xl/chartsheets/sheet123.xml" ContentType="application/vnd.openxmlformats-officedocument.spreadsheetml.chartsheet+xml"/>
  <Override PartName="/xl/chartsheets/sheet124.xml" ContentType="application/vnd.openxmlformats-officedocument.spreadsheetml.chartsheet+xml"/>
  <Override PartName="/xl/chartsheets/sheet125.xml" ContentType="application/vnd.openxmlformats-officedocument.spreadsheetml.chartsheet+xml"/>
  <Override PartName="/xl/chartsheets/sheet126.xml" ContentType="application/vnd.openxmlformats-officedocument.spreadsheetml.chart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chartsheets/sheet127.xml" ContentType="application/vnd.openxmlformats-officedocument.spreadsheetml.chartsheet+xml"/>
  <Override PartName="/xl/chartsheets/sheet128.xml" ContentType="application/vnd.openxmlformats-officedocument.spreadsheetml.chartsheet+xml"/>
  <Override PartName="/xl/chartsheets/sheet129.xml" ContentType="application/vnd.openxmlformats-officedocument.spreadsheetml.chartsheet+xml"/>
  <Override PartName="/xl/chartsheets/sheet130.xml" ContentType="application/vnd.openxmlformats-officedocument.spreadsheetml.chart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chartsheets/sheet131.xml" ContentType="application/vnd.openxmlformats-officedocument.spreadsheetml.chartsheet+xml"/>
  <Override PartName="/xl/chartsheets/sheet132.xml" ContentType="application/vnd.openxmlformats-officedocument.spreadsheetml.chartsheet+xml"/>
  <Override PartName="/xl/worksheets/sheet103.xml" ContentType="application/vnd.openxmlformats-officedocument.spreadsheetml.worksheet+xml"/>
  <Override PartName="/xl/chartsheets/sheet133.xml" ContentType="application/vnd.openxmlformats-officedocument.spreadsheetml.chartsheet+xml"/>
  <Override PartName="/xl/chartsheets/sheet134.xml" ContentType="application/vnd.openxmlformats-officedocument.spreadsheetml.chartsheet+xml"/>
  <Override PartName="/xl/worksheets/sheet104.xml" ContentType="application/vnd.openxmlformats-officedocument.spreadsheetml.worksheet+xml"/>
  <Override PartName="/xl/chartsheets/sheet135.xml" ContentType="application/vnd.openxmlformats-officedocument.spreadsheetml.chartsheet+xml"/>
  <Override PartName="/xl/chartsheets/sheet136.xml" ContentType="application/vnd.openxmlformats-officedocument.spreadsheetml.chartsheet+xml"/>
  <Override PartName="/xl/chartsheets/sheet137.xml" ContentType="application/vnd.openxmlformats-officedocument.spreadsheetml.chartsheet+xml"/>
  <Override PartName="/xl/chartsheets/sheet138.xml" ContentType="application/vnd.openxmlformats-officedocument.spreadsheetml.chartsheet+xml"/>
  <Override PartName="/xl/chartsheets/sheet139.xml" ContentType="application/vnd.openxmlformats-officedocument.spreadsheetml.chartsheet+xml"/>
  <Override PartName="/xl/chartsheets/sheet140.xml" ContentType="application/vnd.openxmlformats-officedocument.spreadsheetml.chartsheet+xml"/>
  <Override PartName="/xl/chartsheets/sheet141.xml" ContentType="application/vnd.openxmlformats-officedocument.spreadsheetml.chartsheet+xml"/>
  <Override PartName="/xl/chartsheets/sheet142.xml" ContentType="application/vnd.openxmlformats-officedocument.spreadsheetml.chart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chartsheets/sheet143.xml" ContentType="application/vnd.openxmlformats-officedocument.spreadsheetml.chartsheet+xml"/>
  <Override PartName="/xl/chartsheets/sheet144.xml" ContentType="application/vnd.openxmlformats-officedocument.spreadsheetml.chartsheet+xml"/>
  <Override PartName="/xl/chartsheets/sheet145.xml" ContentType="application/vnd.openxmlformats-officedocument.spreadsheetml.chartsheet+xml"/>
  <Override PartName="/xl/chartsheets/sheet146.xml" ContentType="application/vnd.openxmlformats-officedocument.spreadsheetml.chart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chartsheets/sheet147.xml" ContentType="application/vnd.openxmlformats-officedocument.spreadsheetml.chartsheet+xml"/>
  <Override PartName="/xl/chartsheets/sheet148.xml" ContentType="application/vnd.openxmlformats-officedocument.spreadsheetml.chart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chartsheets/sheet149.xml" ContentType="application/vnd.openxmlformats-officedocument.spreadsheetml.chartsheet+xml"/>
  <Override PartName="/xl/chartsheets/sheet150.xml" ContentType="application/vnd.openxmlformats-officedocument.spreadsheetml.chart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chartsheets/sheet151.xml" ContentType="application/vnd.openxmlformats-officedocument.spreadsheetml.chartsheet+xml"/>
  <Override PartName="/xl/chartsheets/sheet152.xml" ContentType="application/vnd.openxmlformats-officedocument.spreadsheetml.chartsheet+xml"/>
  <Override PartName="/xl/chartsheets/sheet153.xml" ContentType="application/vnd.openxmlformats-officedocument.spreadsheetml.chartsheet+xml"/>
  <Override PartName="/xl/chartsheets/sheet154.xml" ContentType="application/vnd.openxmlformats-officedocument.spreadsheetml.chartsheet+xml"/>
  <Override PartName="/xl/chartsheets/sheet155.xml" ContentType="application/vnd.openxmlformats-officedocument.spreadsheetml.chartsheet+xml"/>
  <Override PartName="/xl/chartsheets/sheet156.xml" ContentType="application/vnd.openxmlformats-officedocument.spreadsheetml.chartsheet+xml"/>
  <Override PartName="/xl/chartsheets/sheet157.xml" ContentType="application/vnd.openxmlformats-officedocument.spreadsheetml.chartsheet+xml"/>
  <Override PartName="/xl/chartsheets/sheet158.xml" ContentType="application/vnd.openxmlformats-officedocument.spreadsheetml.chart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chartsheets/sheet159.xml" ContentType="application/vnd.openxmlformats-officedocument.spreadsheetml.chartsheet+xml"/>
  <Override PartName="/xl/chartsheets/sheet160.xml" ContentType="application/vnd.openxmlformats-officedocument.spreadsheetml.chartsheet+xml"/>
  <Override PartName="/xl/worksheets/sheet116.xml" ContentType="application/vnd.openxmlformats-officedocument.spreadsheetml.worksheet+xml"/>
  <Override PartName="/xl/chartsheets/sheet161.xml" ContentType="application/vnd.openxmlformats-officedocument.spreadsheetml.chartsheet+xml"/>
  <Override PartName="/xl/chartsheets/sheet162.xml" ContentType="application/vnd.openxmlformats-officedocument.spreadsheetml.chartsheet+xml"/>
  <Override PartName="/xl/worksheets/sheet117.xml" ContentType="application/vnd.openxmlformats-officedocument.spreadsheetml.worksheet+xml"/>
  <Override PartName="/xl/chartsheets/sheet163.xml" ContentType="application/vnd.openxmlformats-officedocument.spreadsheetml.chartsheet+xml"/>
  <Override PartName="/xl/chartsheets/sheet164.xml" ContentType="application/vnd.openxmlformats-officedocument.spreadsheetml.chartsheet+xml"/>
  <Override PartName="/xl/worksheets/sheet118.xml" ContentType="application/vnd.openxmlformats-officedocument.spreadsheetml.worksheet+xml"/>
  <Override PartName="/xl/chartsheets/sheet165.xml" ContentType="application/vnd.openxmlformats-officedocument.spreadsheetml.chartsheet+xml"/>
  <Override PartName="/xl/chartsheets/sheet166.xml" ContentType="application/vnd.openxmlformats-officedocument.spreadsheetml.chartsheet+xml"/>
  <Override PartName="/xl/worksheets/sheet119.xml" ContentType="application/vnd.openxmlformats-officedocument.spreadsheetml.worksheet+xml"/>
  <Override PartName="/xl/chartsheets/sheet167.xml" ContentType="application/vnd.openxmlformats-officedocument.spreadsheetml.chartsheet+xml"/>
  <Override PartName="/xl/chartsheets/sheet168.xml" ContentType="application/vnd.openxmlformats-officedocument.spreadsheetml.chartsheet+xml"/>
  <Override PartName="/xl/worksheets/sheet120.xml" ContentType="application/vnd.openxmlformats-officedocument.spreadsheetml.worksheet+xml"/>
  <Override PartName="/xl/chartsheets/sheet169.xml" ContentType="application/vnd.openxmlformats-officedocument.spreadsheetml.chartsheet+xml"/>
  <Override PartName="/xl/chartsheets/sheet170.xml" ContentType="application/vnd.openxmlformats-officedocument.spreadsheetml.chartsheet+xml"/>
  <Override PartName="/xl/worksheets/sheet121.xml" ContentType="application/vnd.openxmlformats-officedocument.spreadsheetml.worksheet+xml"/>
  <Override PartName="/xl/chartsheets/sheet171.xml" ContentType="application/vnd.openxmlformats-officedocument.spreadsheetml.chartsheet+xml"/>
  <Override PartName="/xl/chartsheets/sheet172.xml" ContentType="application/vnd.openxmlformats-officedocument.spreadsheetml.chartsheet+xml"/>
  <Override PartName="/xl/chartsheets/sheet173.xml" ContentType="application/vnd.openxmlformats-officedocument.spreadsheetml.chartsheet+xml"/>
  <Override PartName="/xl/chartsheets/sheet174.xml" ContentType="application/vnd.openxmlformats-officedocument.spreadsheetml.chartsheet+xml"/>
  <Override PartName="/xl/worksheets/sheet122.xml" ContentType="application/vnd.openxmlformats-officedocument.spreadsheetml.worksheet+xml"/>
  <Override PartName="/xl/chartsheets/sheet175.xml" ContentType="application/vnd.openxmlformats-officedocument.spreadsheetml.chartsheet+xml"/>
  <Override PartName="/xl/chartsheets/sheet176.xml" ContentType="application/vnd.openxmlformats-officedocument.spreadsheetml.chartsheet+xml"/>
  <Override PartName="/xl/worksheets/sheet123.xml" ContentType="application/vnd.openxmlformats-officedocument.spreadsheetml.worksheet+xml"/>
  <Override PartName="/xl/chartsheets/sheet177.xml" ContentType="application/vnd.openxmlformats-officedocument.spreadsheetml.chartsheet+xml"/>
  <Override PartName="/xl/chartsheets/sheet178.xml" ContentType="application/vnd.openxmlformats-officedocument.spreadsheetml.chart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chartsheets/sheet179.xml" ContentType="application/vnd.openxmlformats-officedocument.spreadsheetml.chartsheet+xml"/>
  <Override PartName="/xl/chartsheets/sheet180.xml" ContentType="application/vnd.openxmlformats-officedocument.spreadsheetml.chartsheet+xml"/>
  <Override PartName="/xl/worksheets/sheet126.xml" ContentType="application/vnd.openxmlformats-officedocument.spreadsheetml.worksheet+xml"/>
  <Override PartName="/xl/chartsheets/sheet181.xml" ContentType="application/vnd.openxmlformats-officedocument.spreadsheetml.chartsheet+xml"/>
  <Override PartName="/xl/chartsheets/sheet182.xml" ContentType="application/vnd.openxmlformats-officedocument.spreadsheetml.chartsheet+xml"/>
  <Override PartName="/xl/worksheets/sheet127.xml" ContentType="application/vnd.openxmlformats-officedocument.spreadsheetml.worksheet+xml"/>
  <Override PartName="/xl/chartsheets/sheet183.xml" ContentType="application/vnd.openxmlformats-officedocument.spreadsheetml.chartsheet+xml"/>
  <Override PartName="/xl/chartsheets/sheet184.xml" ContentType="application/vnd.openxmlformats-officedocument.spreadsheetml.chartsheet+xml"/>
  <Override PartName="/xl/worksheets/sheet128.xml" ContentType="application/vnd.openxmlformats-officedocument.spreadsheetml.worksheet+xml"/>
  <Override PartName="/xl/chartsheets/sheet185.xml" ContentType="application/vnd.openxmlformats-officedocument.spreadsheetml.chartsheet+xml"/>
  <Override PartName="/xl/chartsheets/sheet186.xml" ContentType="application/vnd.openxmlformats-officedocument.spreadsheetml.chartsheet+xml"/>
  <Override PartName="/xl/worksheets/sheet129.xml" ContentType="application/vnd.openxmlformats-officedocument.spreadsheetml.worksheet+xml"/>
  <Override PartName="/xl/chartsheets/sheet187.xml" ContentType="application/vnd.openxmlformats-officedocument.spreadsheetml.chartsheet+xml"/>
  <Override PartName="/xl/chartsheets/sheet188.xml" ContentType="application/vnd.openxmlformats-officedocument.spreadsheetml.chartsheet+xml"/>
  <Override PartName="/xl/worksheets/sheet130.xml" ContentType="application/vnd.openxmlformats-officedocument.spreadsheetml.worksheet+xml"/>
  <Override PartName="/xl/chartsheets/sheet189.xml" ContentType="application/vnd.openxmlformats-officedocument.spreadsheetml.chartsheet+xml"/>
  <Override PartName="/xl/chartsheets/sheet190.xml" ContentType="application/vnd.openxmlformats-officedocument.spreadsheetml.chartsheet+xml"/>
  <Override PartName="/xl/worksheets/sheet131.xml" ContentType="application/vnd.openxmlformats-officedocument.spreadsheetml.worksheet+xml"/>
  <Override PartName="/xl/chartsheets/sheet191.xml" ContentType="application/vnd.openxmlformats-officedocument.spreadsheetml.chartsheet+xml"/>
  <Override PartName="/xl/chartsheets/sheet192.xml" ContentType="application/vnd.openxmlformats-officedocument.spreadsheetml.chartsheet+xml"/>
  <Override PartName="/xl/chartsheets/sheet193.xml" ContentType="application/vnd.openxmlformats-officedocument.spreadsheetml.chartsheet+xml"/>
  <Override PartName="/xl/chartsheets/sheet194.xml" ContentType="application/vnd.openxmlformats-officedocument.spreadsheetml.chartsheet+xml"/>
  <Override PartName="/xl/worksheets/sheet132.xml" ContentType="application/vnd.openxmlformats-officedocument.spreadsheetml.worksheet+xml"/>
  <Override PartName="/xl/chartsheets/sheet195.xml" ContentType="application/vnd.openxmlformats-officedocument.spreadsheetml.chartsheet+xml"/>
  <Override PartName="/xl/chartsheets/sheet196.xml" ContentType="application/vnd.openxmlformats-officedocument.spreadsheetml.chartsheet+xml"/>
  <Override PartName="/xl/worksheets/sheet133.xml" ContentType="application/vnd.openxmlformats-officedocument.spreadsheetml.worksheet+xml"/>
  <Override PartName="/xl/chartsheets/sheet197.xml" ContentType="application/vnd.openxmlformats-officedocument.spreadsheetml.chartsheet+xml"/>
  <Override PartName="/xl/chartsheets/sheet198.xml" ContentType="application/vnd.openxmlformats-officedocument.spreadsheetml.chart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chartsheets/sheet199.xml" ContentType="application/vnd.openxmlformats-officedocument.spreadsheetml.chartsheet+xml"/>
  <Override PartName="/xl/chartsheets/sheet200.xml" ContentType="application/vnd.openxmlformats-officedocument.spreadsheetml.chartsheet+xml"/>
  <Override PartName="/xl/worksheets/sheet136.xml" ContentType="application/vnd.openxmlformats-officedocument.spreadsheetml.worksheet+xml"/>
  <Override PartName="/xl/chartsheets/sheet201.xml" ContentType="application/vnd.openxmlformats-officedocument.spreadsheetml.chartsheet+xml"/>
  <Override PartName="/xl/chartsheets/sheet202.xml" ContentType="application/vnd.openxmlformats-officedocument.spreadsheetml.chartsheet+xml"/>
  <Override PartName="/xl/worksheets/sheet137.xml" ContentType="application/vnd.openxmlformats-officedocument.spreadsheetml.worksheet+xml"/>
  <Override PartName="/xl/chartsheets/sheet203.xml" ContentType="application/vnd.openxmlformats-officedocument.spreadsheetml.chartsheet+xml"/>
  <Override PartName="/xl/chartsheets/sheet204.xml" ContentType="application/vnd.openxmlformats-officedocument.spreadsheetml.chartsheet+xml"/>
  <Override PartName="/xl/worksheets/sheet138.xml" ContentType="application/vnd.openxmlformats-officedocument.spreadsheetml.worksheet+xml"/>
  <Override PartName="/xl/chartsheets/sheet205.xml" ContentType="application/vnd.openxmlformats-officedocument.spreadsheetml.chartsheet+xml"/>
  <Override PartName="/xl/chartsheets/sheet206.xml" ContentType="application/vnd.openxmlformats-officedocument.spreadsheetml.chartsheet+xml"/>
  <Override PartName="/xl/worksheets/sheet139.xml" ContentType="application/vnd.openxmlformats-officedocument.spreadsheetml.worksheet+xml"/>
  <Override PartName="/xl/chartsheets/sheet207.xml" ContentType="application/vnd.openxmlformats-officedocument.spreadsheetml.chartsheet+xml"/>
  <Override PartName="/xl/chartsheets/sheet208.xml" ContentType="application/vnd.openxmlformats-officedocument.spreadsheetml.chartsheet+xml"/>
  <Override PartName="/xl/worksheets/sheet140.xml" ContentType="application/vnd.openxmlformats-officedocument.spreadsheetml.worksheet+xml"/>
  <Override PartName="/xl/chartsheets/sheet209.xml" ContentType="application/vnd.openxmlformats-officedocument.spreadsheetml.chartsheet+xml"/>
  <Override PartName="/xl/chartsheets/sheet210.xml" ContentType="application/vnd.openxmlformats-officedocument.spreadsheetml.chartsheet+xml"/>
  <Override PartName="/xl/worksheets/sheet141.xml" ContentType="application/vnd.openxmlformats-officedocument.spreadsheetml.worksheet+xml"/>
  <Override PartName="/xl/chartsheets/sheet211.xml" ContentType="application/vnd.openxmlformats-officedocument.spreadsheetml.chartsheet+xml"/>
  <Override PartName="/xl/chartsheets/sheet212.xml" ContentType="application/vnd.openxmlformats-officedocument.spreadsheetml.chartsheet+xml"/>
  <Override PartName="/xl/chartsheets/sheet213.xml" ContentType="application/vnd.openxmlformats-officedocument.spreadsheetml.chartsheet+xml"/>
  <Override PartName="/xl/chartsheets/sheet214.xml" ContentType="application/vnd.openxmlformats-officedocument.spreadsheetml.chartsheet+xml"/>
  <Override PartName="/xl/worksheets/sheet142.xml" ContentType="application/vnd.openxmlformats-officedocument.spreadsheetml.worksheet+xml"/>
  <Override PartName="/xl/chartsheets/sheet215.xml" ContentType="application/vnd.openxmlformats-officedocument.spreadsheetml.chartsheet+xml"/>
  <Override PartName="/xl/chartsheets/sheet216.xml" ContentType="application/vnd.openxmlformats-officedocument.spreadsheetml.chartsheet+xml"/>
  <Override PartName="/xl/worksheets/sheet143.xml" ContentType="application/vnd.openxmlformats-officedocument.spreadsheetml.worksheet+xml"/>
  <Override PartName="/xl/chartsheets/sheet217.xml" ContentType="application/vnd.openxmlformats-officedocument.spreadsheetml.chartsheet+xml"/>
  <Override PartName="/xl/chartsheets/sheet218.xml" ContentType="application/vnd.openxmlformats-officedocument.spreadsheetml.chart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chartsheets/sheet219.xml" ContentType="application/vnd.openxmlformats-officedocument.spreadsheetml.chartsheet+xml"/>
  <Override PartName="/xl/chartsheets/sheet220.xml" ContentType="application/vnd.openxmlformats-officedocument.spreadsheetml.chartsheet+xml"/>
  <Override PartName="/xl/worksheets/sheet146.xml" ContentType="application/vnd.openxmlformats-officedocument.spreadsheetml.worksheet+xml"/>
  <Override PartName="/xl/chartsheets/sheet221.xml" ContentType="application/vnd.openxmlformats-officedocument.spreadsheetml.chartsheet+xml"/>
  <Override PartName="/xl/chartsheets/sheet222.xml" ContentType="application/vnd.openxmlformats-officedocument.spreadsheetml.chartsheet+xml"/>
  <Override PartName="/xl/worksheets/sheet147.xml" ContentType="application/vnd.openxmlformats-officedocument.spreadsheetml.worksheet+xml"/>
  <Override PartName="/xl/chartsheets/sheet223.xml" ContentType="application/vnd.openxmlformats-officedocument.spreadsheetml.chartsheet+xml"/>
  <Override PartName="/xl/chartsheets/sheet224.xml" ContentType="application/vnd.openxmlformats-officedocument.spreadsheetml.chartsheet+xml"/>
  <Override PartName="/xl/worksheets/sheet148.xml" ContentType="application/vnd.openxmlformats-officedocument.spreadsheetml.worksheet+xml"/>
  <Override PartName="/xl/chartsheets/sheet225.xml" ContentType="application/vnd.openxmlformats-officedocument.spreadsheetml.chartsheet+xml"/>
  <Override PartName="/xl/chartsheets/sheet226.xml" ContentType="application/vnd.openxmlformats-officedocument.spreadsheetml.chartsheet+xml"/>
  <Override PartName="/xl/worksheets/sheet149.xml" ContentType="application/vnd.openxmlformats-officedocument.spreadsheetml.worksheet+xml"/>
  <Override PartName="/xl/chartsheets/sheet227.xml" ContentType="application/vnd.openxmlformats-officedocument.spreadsheetml.chartsheet+xml"/>
  <Override PartName="/xl/chartsheets/sheet228.xml" ContentType="application/vnd.openxmlformats-officedocument.spreadsheetml.chartsheet+xml"/>
  <Override PartName="/xl/worksheets/sheet150.xml" ContentType="application/vnd.openxmlformats-officedocument.spreadsheetml.worksheet+xml"/>
  <Override PartName="/xl/chartsheets/sheet229.xml" ContentType="application/vnd.openxmlformats-officedocument.spreadsheetml.chartsheet+xml"/>
  <Override PartName="/xl/chartsheets/sheet230.xml" ContentType="application/vnd.openxmlformats-officedocument.spreadsheetml.chartsheet+xml"/>
  <Override PartName="/xl/worksheets/sheet151.xml" ContentType="application/vnd.openxmlformats-officedocument.spreadsheetml.worksheet+xml"/>
  <Override PartName="/xl/chartsheets/sheet231.xml" ContentType="application/vnd.openxmlformats-officedocument.spreadsheetml.chartsheet+xml"/>
  <Override PartName="/xl/chartsheets/sheet232.xml" ContentType="application/vnd.openxmlformats-officedocument.spreadsheetml.chartsheet+xml"/>
  <Override PartName="/xl/chartsheets/sheet233.xml" ContentType="application/vnd.openxmlformats-officedocument.spreadsheetml.chartsheet+xml"/>
  <Override PartName="/xl/chartsheets/sheet234.xml" ContentType="application/vnd.openxmlformats-officedocument.spreadsheetml.chartsheet+xml"/>
  <Override PartName="/xl/worksheets/sheet152.xml" ContentType="application/vnd.openxmlformats-officedocument.spreadsheetml.worksheet+xml"/>
  <Override PartName="/xl/chartsheets/sheet235.xml" ContentType="application/vnd.openxmlformats-officedocument.spreadsheetml.chartsheet+xml"/>
  <Override PartName="/xl/chartsheets/sheet236.xml" ContentType="application/vnd.openxmlformats-officedocument.spreadsheetml.chartsheet+xml"/>
  <Override PartName="/xl/worksheets/sheet153.xml" ContentType="application/vnd.openxmlformats-officedocument.spreadsheetml.worksheet+xml"/>
  <Override PartName="/xl/chartsheets/sheet237.xml" ContentType="application/vnd.openxmlformats-officedocument.spreadsheetml.chartsheet+xml"/>
  <Override PartName="/xl/chartsheets/sheet238.xml" ContentType="application/vnd.openxmlformats-officedocument.spreadsheetml.chart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chartsheets/sheet239.xml" ContentType="application/vnd.openxmlformats-officedocument.spreadsheetml.chartsheet+xml"/>
  <Override PartName="/xl/chartsheets/sheet240.xml" ContentType="application/vnd.openxmlformats-officedocument.spreadsheetml.chartsheet+xml"/>
  <Override PartName="/xl/worksheets/sheet161.xml" ContentType="application/vnd.openxmlformats-officedocument.spreadsheetml.worksheet+xml"/>
  <Override PartName="/xl/chartsheets/sheet241.xml" ContentType="application/vnd.openxmlformats-officedocument.spreadsheetml.chartsheet+xml"/>
  <Override PartName="/xl/chartsheets/sheet242.xml" ContentType="application/vnd.openxmlformats-officedocument.spreadsheetml.chartsheet+xml"/>
  <Override PartName="/xl/chartsheets/sheet243.xml" ContentType="application/vnd.openxmlformats-officedocument.spreadsheetml.chartsheet+xml"/>
  <Override PartName="/xl/chartsheets/sheet244.xml" ContentType="application/vnd.openxmlformats-officedocument.spreadsheetml.chartsheet+xml"/>
  <Override PartName="/xl/chartsheets/sheet245.xml" ContentType="application/vnd.openxmlformats-officedocument.spreadsheetml.chartsheet+xml"/>
  <Override PartName="/xl/chartsheets/sheet246.xml" ContentType="application/vnd.openxmlformats-officedocument.spreadsheetml.chartsheet+xml"/>
  <Override PartName="/xl/worksheets/sheet162.xml" ContentType="application/vnd.openxmlformats-officedocument.spreadsheetml.worksheet+xml"/>
  <Override PartName="/xl/chartsheets/sheet247.xml" ContentType="application/vnd.openxmlformats-officedocument.spreadsheetml.chartsheet+xml"/>
  <Override PartName="/xl/chartsheets/sheet248.xml" ContentType="application/vnd.openxmlformats-officedocument.spreadsheetml.chart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91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92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93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94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95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96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97.xml" ContentType="application/vnd.openxmlformats-officedocument.drawingml.chart+xml"/>
  <Override PartName="/xl/drawings/drawing108.xml" ContentType="application/vnd.openxmlformats-officedocument.drawing+xml"/>
  <Override PartName="/xl/charts/chart98.xml" ContentType="application/vnd.openxmlformats-officedocument.drawingml.chart+xml"/>
  <Override PartName="/xl/drawings/drawing109.xml" ContentType="application/vnd.openxmlformats-officedocument.drawing+xml"/>
  <Override PartName="/xl/charts/chart99.xml" ContentType="application/vnd.openxmlformats-officedocument.drawingml.chart+xml"/>
  <Override PartName="/xl/drawings/drawing110.xml" ContentType="application/vnd.openxmlformats-officedocument.drawing+xml"/>
  <Override PartName="/xl/charts/chart100.xml" ContentType="application/vnd.openxmlformats-officedocument.drawingml.chart+xml"/>
  <Override PartName="/xl/drawings/drawing111.xml" ContentType="application/vnd.openxmlformats-officedocument.drawing+xml"/>
  <Override PartName="/xl/charts/chart101.xml" ContentType="application/vnd.openxmlformats-officedocument.drawingml.chart+xml"/>
  <Override PartName="/xl/drawings/drawing112.xml" ContentType="application/vnd.openxmlformats-officedocument.drawing+xml"/>
  <Override PartName="/xl/charts/chart102.xml" ContentType="application/vnd.openxmlformats-officedocument.drawingml.chart+xml"/>
  <Override PartName="/xl/drawings/drawing113.xml" ContentType="application/vnd.openxmlformats-officedocument.drawing+xml"/>
  <Override PartName="/xl/charts/chart10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04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05.xml" ContentType="application/vnd.openxmlformats-officedocument.drawingml.chart+xml"/>
  <Override PartName="/xl/drawings/drawing118.xml" ContentType="application/vnd.openxmlformats-officedocument.drawing+xml"/>
  <Override PartName="/xl/charts/chart106.xml" ContentType="application/vnd.openxmlformats-officedocument.drawingml.chart+xml"/>
  <Override PartName="/xl/drawings/drawing119.xml" ContentType="application/vnd.openxmlformats-officedocument.drawing+xml"/>
  <Override PartName="/xl/charts/chart107.xml" ContentType="application/vnd.openxmlformats-officedocument.drawingml.chart+xml"/>
  <Override PartName="/xl/drawings/drawing120.xml" ContentType="application/vnd.openxmlformats-officedocument.drawing+xml"/>
  <Override PartName="/xl/charts/chart108.xml" ContentType="application/vnd.openxmlformats-officedocument.drawingml.chart+xml"/>
  <Override PartName="/xl/drawings/drawing121.xml" ContentType="application/vnd.openxmlformats-officedocument.drawing+xml"/>
  <Override PartName="/xl/charts/chart109.xml" ContentType="application/vnd.openxmlformats-officedocument.drawingml.chart+xml"/>
  <Override PartName="/xl/drawings/drawing122.xml" ContentType="application/vnd.openxmlformats-officedocument.drawing+xml"/>
  <Override PartName="/xl/charts/chart110.xml" ContentType="application/vnd.openxmlformats-officedocument.drawingml.chart+xml"/>
  <Override PartName="/xl/drawings/drawing123.xml" ContentType="application/vnd.openxmlformats-officedocument.drawing+xml"/>
  <Override PartName="/xl/charts/chart111.xml" ContentType="application/vnd.openxmlformats-officedocument.drawingml.chart+xml"/>
  <Override PartName="/xl/drawings/drawing124.xml" ContentType="application/vnd.openxmlformats-officedocument.drawing+xml"/>
  <Override PartName="/xl/charts/chart112.xml" ContentType="application/vnd.openxmlformats-officedocument.drawingml.chart+xml"/>
  <Override PartName="/xl/drawings/drawing125.xml" ContentType="application/vnd.openxmlformats-officedocument.drawing+xml"/>
  <Override PartName="/xl/charts/chart113.xml" ContentType="application/vnd.openxmlformats-officedocument.drawingml.chart+xml"/>
  <Override PartName="/xl/drawings/drawing126.xml" ContentType="application/vnd.openxmlformats-officedocument.drawing+xml"/>
  <Override PartName="/xl/charts/chart114.xml" ContentType="application/vnd.openxmlformats-officedocument.drawingml.chart+xml"/>
  <Override PartName="/xl/drawings/drawing127.xml" ContentType="application/vnd.openxmlformats-officedocument.drawing+xml"/>
  <Override PartName="/xl/charts/chart115.xml" ContentType="application/vnd.openxmlformats-officedocument.drawingml.chart+xml"/>
  <Override PartName="/xl/drawings/drawing128.xml" ContentType="application/vnd.openxmlformats-officedocument.drawing+xml"/>
  <Override PartName="/xl/charts/chart116.xml" ContentType="application/vnd.openxmlformats-officedocument.drawingml.chart+xml"/>
  <Override PartName="/xl/drawings/drawing129.xml" ContentType="application/vnd.openxmlformats-officedocument.drawing+xml"/>
  <Override PartName="/xl/charts/chart117.xml" ContentType="application/vnd.openxmlformats-officedocument.drawingml.chart+xml"/>
  <Override PartName="/xl/drawings/drawing130.xml" ContentType="application/vnd.openxmlformats-officedocument.drawing+xml"/>
  <Override PartName="/xl/charts/chart118.xml" ContentType="application/vnd.openxmlformats-officedocument.drawingml.chart+xml"/>
  <Override PartName="/xl/drawings/drawing131.xml" ContentType="application/vnd.openxmlformats-officedocument.drawing+xml"/>
  <Override PartName="/xl/charts/chart119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20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21.xml" ContentType="application/vnd.openxmlformats-officedocument.drawingml.chart+xml"/>
  <Override PartName="/xl/drawings/drawing136.xml" ContentType="application/vnd.openxmlformats-officedocument.drawing+xml"/>
  <Override PartName="/xl/charts/chart122.xml" ContentType="application/vnd.openxmlformats-officedocument.drawingml.chart+xml"/>
  <Override PartName="/xl/drawings/drawing137.xml" ContentType="application/vnd.openxmlformats-officedocument.drawing+xml"/>
  <Override PartName="/xl/charts/chart123.xml" ContentType="application/vnd.openxmlformats-officedocument.drawingml.chart+xml"/>
  <Override PartName="/xl/drawings/drawing138.xml" ContentType="application/vnd.openxmlformats-officedocument.drawing+xml"/>
  <Override PartName="/xl/charts/chart124.xml" ContentType="application/vnd.openxmlformats-officedocument.drawingml.chart+xml"/>
  <Override PartName="/xl/drawings/drawing139.xml" ContentType="application/vnd.openxmlformats-officedocument.drawing+xml"/>
  <Override PartName="/xl/charts/chart125.xml" ContentType="application/vnd.openxmlformats-officedocument.drawingml.chart+xml"/>
  <Override PartName="/xl/drawings/drawing140.xml" ContentType="application/vnd.openxmlformats-officedocument.drawing+xml"/>
  <Override PartName="/xl/charts/chart126.xml" ContentType="application/vnd.openxmlformats-officedocument.drawingml.chart+xml"/>
  <Override PartName="/xl/drawings/drawing141.xml" ContentType="application/vnd.openxmlformats-officedocument.drawing+xml"/>
  <Override PartName="/xl/charts/chart127.xml" ContentType="application/vnd.openxmlformats-officedocument.drawingml.chart+xml"/>
  <Override PartName="/xl/drawings/drawing142.xml" ContentType="application/vnd.openxmlformats-officedocument.drawing+xml"/>
  <Override PartName="/xl/charts/chart128.xml" ContentType="application/vnd.openxmlformats-officedocument.drawingml.chart+xml"/>
  <Override PartName="/xl/drawings/drawing143.xml" ContentType="application/vnd.openxmlformats-officedocument.drawing+xml"/>
  <Override PartName="/xl/charts/chart129.xml" ContentType="application/vnd.openxmlformats-officedocument.drawingml.chart+xml"/>
  <Override PartName="/xl/drawings/drawing144.xml" ContentType="application/vnd.openxmlformats-officedocument.drawing+xml"/>
  <Override PartName="/xl/charts/chart130.xml" ContentType="application/vnd.openxmlformats-officedocument.drawingml.chart+xml"/>
  <Override PartName="/xl/drawings/drawing145.xml" ContentType="application/vnd.openxmlformats-officedocument.drawing+xml"/>
  <Override PartName="/xl/charts/chart131.xml" ContentType="application/vnd.openxmlformats-officedocument.drawingml.chart+xml"/>
  <Override PartName="/xl/drawings/drawing146.xml" ContentType="application/vnd.openxmlformats-officedocument.drawing+xml"/>
  <Override PartName="/xl/charts/chart132.xml" ContentType="application/vnd.openxmlformats-officedocument.drawingml.chart+xml"/>
  <Override PartName="/xl/drawings/drawing147.xml" ContentType="application/vnd.openxmlformats-officedocument.drawing+xml"/>
  <Override PartName="/xl/charts/chart133.xml" ContentType="application/vnd.openxmlformats-officedocument.drawingml.chart+xml"/>
  <Override PartName="/xl/drawings/drawing148.xml" ContentType="application/vnd.openxmlformats-officedocument.drawing+xml"/>
  <Override PartName="/xl/charts/chart134.xml" ContentType="application/vnd.openxmlformats-officedocument.drawingml.chart+xml"/>
  <Override PartName="/xl/drawings/drawing149.xml" ContentType="application/vnd.openxmlformats-officedocument.drawing+xml"/>
  <Override PartName="/xl/charts/chart13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36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7.xml" ContentType="application/vnd.openxmlformats-officedocument.drawingml.chart+xml"/>
  <Override PartName="/xl/drawings/drawing154.xml" ContentType="application/vnd.openxmlformats-officedocument.drawing+xml"/>
  <Override PartName="/xl/charts/chart138.xml" ContentType="application/vnd.openxmlformats-officedocument.drawingml.chart+xml"/>
  <Override PartName="/xl/drawings/drawing155.xml" ContentType="application/vnd.openxmlformats-officedocument.drawing+xml"/>
  <Override PartName="/xl/charts/chart139.xml" ContentType="application/vnd.openxmlformats-officedocument.drawingml.chart+xml"/>
  <Override PartName="/xl/drawings/drawing156.xml" ContentType="application/vnd.openxmlformats-officedocument.drawing+xml"/>
  <Override PartName="/xl/charts/chart140.xml" ContentType="application/vnd.openxmlformats-officedocument.drawingml.chart+xml"/>
  <Override PartName="/xl/drawings/drawing157.xml" ContentType="application/vnd.openxmlformats-officedocument.drawing+xml"/>
  <Override PartName="/xl/charts/chart141.xml" ContentType="application/vnd.openxmlformats-officedocument.drawingml.chart+xml"/>
  <Override PartName="/xl/drawings/drawing158.xml" ContentType="application/vnd.openxmlformats-officedocument.drawing+xml"/>
  <Override PartName="/xl/charts/chart142.xml" ContentType="application/vnd.openxmlformats-officedocument.drawingml.chart+xml"/>
  <Override PartName="/xl/drawings/drawing159.xml" ContentType="application/vnd.openxmlformats-officedocument.drawing+xml"/>
  <Override PartName="/xl/charts/chart143.xml" ContentType="application/vnd.openxmlformats-officedocument.drawingml.chart+xml"/>
  <Override PartName="/xl/drawings/drawing160.xml" ContentType="application/vnd.openxmlformats-officedocument.drawing+xml"/>
  <Override PartName="/xl/charts/chart144.xml" ContentType="application/vnd.openxmlformats-officedocument.drawingml.chart+xml"/>
  <Override PartName="/xl/drawings/drawing161.xml" ContentType="application/vnd.openxmlformats-officedocument.drawing+xml"/>
  <Override PartName="/xl/charts/chart145.xml" ContentType="application/vnd.openxmlformats-officedocument.drawingml.chart+xml"/>
  <Override PartName="/xl/drawings/drawing162.xml" ContentType="application/vnd.openxmlformats-officedocument.drawing+xml"/>
  <Override PartName="/xl/charts/chart146.xml" ContentType="application/vnd.openxmlformats-officedocument.drawingml.chart+xml"/>
  <Override PartName="/xl/drawings/drawing163.xml" ContentType="application/vnd.openxmlformats-officedocument.drawing+xml"/>
  <Override PartName="/xl/charts/chart147.xml" ContentType="application/vnd.openxmlformats-officedocument.drawingml.chart+xml"/>
  <Override PartName="/xl/drawings/drawing164.xml" ContentType="application/vnd.openxmlformats-officedocument.drawing+xml"/>
  <Override PartName="/xl/charts/chart148.xml" ContentType="application/vnd.openxmlformats-officedocument.drawingml.chart+xml"/>
  <Override PartName="/xl/drawings/drawing165.xml" ContentType="application/vnd.openxmlformats-officedocument.drawing+xml"/>
  <Override PartName="/xl/charts/chart149.xml" ContentType="application/vnd.openxmlformats-officedocument.drawingml.chart+xml"/>
  <Override PartName="/xl/drawings/drawing166.xml" ContentType="application/vnd.openxmlformats-officedocument.drawing+xml"/>
  <Override PartName="/xl/charts/chart150.xml" ContentType="application/vnd.openxmlformats-officedocument.drawingml.chart+xml"/>
  <Override PartName="/xl/drawings/drawing167.xml" ContentType="application/vnd.openxmlformats-officedocument.drawing+xml"/>
  <Override PartName="/xl/charts/chart151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52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53.xml" ContentType="application/vnd.openxmlformats-officedocument.drawingml.chart+xml"/>
  <Override PartName="/xl/drawings/drawing172.xml" ContentType="application/vnd.openxmlformats-officedocument.drawing+xml"/>
  <Override PartName="/xl/charts/chart154.xml" ContentType="application/vnd.openxmlformats-officedocument.drawingml.chart+xml"/>
  <Override PartName="/xl/drawings/drawing173.xml" ContentType="application/vnd.openxmlformats-officedocument.drawing+xml"/>
  <Override PartName="/xl/charts/chart155.xml" ContentType="application/vnd.openxmlformats-officedocument.drawingml.chart+xml"/>
  <Override PartName="/xl/drawings/drawing174.xml" ContentType="application/vnd.openxmlformats-officedocument.drawing+xml"/>
  <Override PartName="/xl/charts/chart156.xml" ContentType="application/vnd.openxmlformats-officedocument.drawingml.chart+xml"/>
  <Override PartName="/xl/drawings/drawing175.xml" ContentType="application/vnd.openxmlformats-officedocument.drawing+xml"/>
  <Override PartName="/xl/charts/chart157.xml" ContentType="application/vnd.openxmlformats-officedocument.drawingml.chart+xml"/>
  <Override PartName="/xl/drawings/drawing176.xml" ContentType="application/vnd.openxmlformats-officedocument.drawing+xml"/>
  <Override PartName="/xl/charts/chart158.xml" ContentType="application/vnd.openxmlformats-officedocument.drawingml.chart+xml"/>
  <Override PartName="/xl/drawings/drawing177.xml" ContentType="application/vnd.openxmlformats-officedocument.drawing+xml"/>
  <Override PartName="/xl/charts/chart159.xml" ContentType="application/vnd.openxmlformats-officedocument.drawingml.chart+xml"/>
  <Override PartName="/xl/drawings/drawing178.xml" ContentType="application/vnd.openxmlformats-officedocument.drawing+xml"/>
  <Override PartName="/xl/charts/chart160.xml" ContentType="application/vnd.openxmlformats-officedocument.drawingml.chart+xml"/>
  <Override PartName="/xl/drawings/drawing179.xml" ContentType="application/vnd.openxmlformats-officedocument.drawing+xml"/>
  <Override PartName="/xl/charts/chart161.xml" ContentType="application/vnd.openxmlformats-officedocument.drawingml.chart+xml"/>
  <Override PartName="/xl/drawings/drawing180.xml" ContentType="application/vnd.openxmlformats-officedocument.drawing+xml"/>
  <Override PartName="/xl/charts/chart162.xml" ContentType="application/vnd.openxmlformats-officedocument.drawingml.chart+xml"/>
  <Override PartName="/xl/drawings/drawing181.xml" ContentType="application/vnd.openxmlformats-officedocument.drawing+xml"/>
  <Override PartName="/xl/charts/chart163.xml" ContentType="application/vnd.openxmlformats-officedocument.drawingml.chart+xml"/>
  <Override PartName="/xl/drawings/drawing182.xml" ContentType="application/vnd.openxmlformats-officedocument.drawing+xml"/>
  <Override PartName="/xl/charts/chart164.xml" ContentType="application/vnd.openxmlformats-officedocument.drawingml.chart+xml"/>
  <Override PartName="/xl/drawings/drawing183.xml" ContentType="application/vnd.openxmlformats-officedocument.drawing+xml"/>
  <Override PartName="/xl/charts/chart165.xml" ContentType="application/vnd.openxmlformats-officedocument.drawingml.chart+xml"/>
  <Override PartName="/xl/drawings/drawing184.xml" ContentType="application/vnd.openxmlformats-officedocument.drawing+xml"/>
  <Override PartName="/xl/charts/chart166.xml" ContentType="application/vnd.openxmlformats-officedocument.drawingml.chart+xml"/>
  <Override PartName="/xl/drawings/drawing185.xml" ContentType="application/vnd.openxmlformats-officedocument.drawing+xml"/>
  <Override PartName="/xl/charts/chart167.xml" ContentType="application/vnd.openxmlformats-officedocument.drawingml.chart+xml"/>
  <Override PartName="/xl/drawings/drawing186.xml" ContentType="application/vnd.openxmlformats-officedocument.drawing+xml"/>
  <Override PartName="/xl/charts/chart168.xml" ContentType="application/vnd.openxmlformats-officedocument.drawingml.chart+xml"/>
  <Override PartName="/xl/drawings/drawing187.xml" ContentType="application/vnd.openxmlformats-officedocument.drawing+xml"/>
  <Override PartName="/xl/charts/chart169.xml" ContentType="application/vnd.openxmlformats-officedocument.drawingml.chart+xml"/>
  <Override PartName="/xl/drawings/drawing188.xml" ContentType="application/vnd.openxmlformats-officedocument.drawing+xml"/>
  <Override PartName="/xl/charts/chart170.xml" ContentType="application/vnd.openxmlformats-officedocument.drawingml.chart+xml"/>
  <Override PartName="/xl/drawings/drawing189.xml" ContentType="application/vnd.openxmlformats-officedocument.drawing+xml"/>
  <Override PartName="/xl/charts/chart171.xml" ContentType="application/vnd.openxmlformats-officedocument.drawingml.chart+xml"/>
  <Override PartName="/xl/drawings/drawing190.xml" ContentType="application/vnd.openxmlformats-officedocument.drawing+xml"/>
  <Override PartName="/xl/charts/chart172.xml" ContentType="application/vnd.openxmlformats-officedocument.drawingml.chart+xml"/>
  <Override PartName="/xl/drawings/drawing191.xml" ContentType="application/vnd.openxmlformats-officedocument.drawing+xml"/>
  <Override PartName="/xl/charts/chart173.xml" ContentType="application/vnd.openxmlformats-officedocument.drawingml.chart+xml"/>
  <Override PartName="/xl/drawings/drawing192.xml" ContentType="application/vnd.openxmlformats-officedocument.drawing+xml"/>
  <Override PartName="/xl/charts/chart174.xml" ContentType="application/vnd.openxmlformats-officedocument.drawingml.chart+xml"/>
  <Override PartName="/xl/drawings/drawing193.xml" ContentType="application/vnd.openxmlformats-officedocument.drawing+xml"/>
  <Override PartName="/xl/charts/chart175.xml" ContentType="application/vnd.openxmlformats-officedocument.drawingml.chart+xml"/>
  <Override PartName="/xl/drawings/drawing194.xml" ContentType="application/vnd.openxmlformats-officedocument.drawing+xml"/>
  <Override PartName="/xl/charts/chart176.xml" ContentType="application/vnd.openxmlformats-officedocument.drawingml.chart+xml"/>
  <Override PartName="/xl/drawings/drawing195.xml" ContentType="application/vnd.openxmlformats-officedocument.drawing+xml"/>
  <Override PartName="/xl/charts/chart177.xml" ContentType="application/vnd.openxmlformats-officedocument.drawingml.chart+xml"/>
  <Override PartName="/xl/drawings/drawing196.xml" ContentType="application/vnd.openxmlformats-officedocument.drawing+xml"/>
  <Override PartName="/xl/charts/chart178.xml" ContentType="application/vnd.openxmlformats-officedocument.drawingml.chart+xml"/>
  <Override PartName="/xl/drawings/drawing197.xml" ContentType="application/vnd.openxmlformats-officedocument.drawing+xml"/>
  <Override PartName="/xl/charts/chart179.xml" ContentType="application/vnd.openxmlformats-officedocument.drawingml.chart+xml"/>
  <Override PartName="/xl/drawings/drawing198.xml" ContentType="application/vnd.openxmlformats-officedocument.drawing+xml"/>
  <Override PartName="/xl/charts/chart180.xml" ContentType="application/vnd.openxmlformats-officedocument.drawingml.chart+xml"/>
  <Override PartName="/xl/drawings/drawing199.xml" ContentType="application/vnd.openxmlformats-officedocument.drawing+xml"/>
  <Override PartName="/xl/charts/chart181.xml" ContentType="application/vnd.openxmlformats-officedocument.drawingml.chart+xml"/>
  <Override PartName="/xl/drawings/drawing200.xml" ContentType="application/vnd.openxmlformats-officedocument.drawing+xml"/>
  <Override PartName="/xl/charts/chart182.xml" ContentType="application/vnd.openxmlformats-officedocument.drawingml.chart+xml"/>
  <Override PartName="/xl/drawings/drawing201.xml" ContentType="application/vnd.openxmlformats-officedocument.drawing+xml"/>
  <Override PartName="/xl/charts/chart183.xml" ContentType="application/vnd.openxmlformats-officedocument.drawingml.chart+xml"/>
  <Override PartName="/xl/drawings/drawing202.xml" ContentType="application/vnd.openxmlformats-officedocument.drawing+xml"/>
  <Override PartName="/xl/charts/chart184.xml" ContentType="application/vnd.openxmlformats-officedocument.drawingml.chart+xml"/>
  <Override PartName="/xl/drawings/drawing203.xml" ContentType="application/vnd.openxmlformats-officedocument.drawing+xml"/>
  <Override PartName="/xl/charts/chart185.xml" ContentType="application/vnd.openxmlformats-officedocument.drawingml.chart+xml"/>
  <Override PartName="/xl/drawings/drawing204.xml" ContentType="application/vnd.openxmlformats-officedocument.drawing+xml"/>
  <Override PartName="/xl/charts/chart186.xml" ContentType="application/vnd.openxmlformats-officedocument.drawingml.chart+xml"/>
  <Override PartName="/xl/drawings/drawing205.xml" ContentType="application/vnd.openxmlformats-officedocument.drawing+xml"/>
  <Override PartName="/xl/charts/chart187.xml" ContentType="application/vnd.openxmlformats-officedocument.drawingml.chart+xml"/>
  <Override PartName="/xl/drawings/drawing206.xml" ContentType="application/vnd.openxmlformats-officedocument.drawing+xml"/>
  <Override PartName="/xl/charts/chart188.xml" ContentType="application/vnd.openxmlformats-officedocument.drawingml.chart+xml"/>
  <Override PartName="/xl/drawings/drawing207.xml" ContentType="application/vnd.openxmlformats-officedocument.drawing+xml"/>
  <Override PartName="/xl/charts/chart189.xml" ContentType="application/vnd.openxmlformats-officedocument.drawingml.chart+xml"/>
  <Override PartName="/xl/drawings/drawing208.xml" ContentType="application/vnd.openxmlformats-officedocument.drawing+xml"/>
  <Override PartName="/xl/charts/chart190.xml" ContentType="application/vnd.openxmlformats-officedocument.drawingml.chart+xml"/>
  <Override PartName="/xl/drawings/drawing209.xml" ContentType="application/vnd.openxmlformats-officedocument.drawing+xml"/>
  <Override PartName="/xl/charts/chart191.xml" ContentType="application/vnd.openxmlformats-officedocument.drawingml.chart+xml"/>
  <Override PartName="/xl/drawings/drawing210.xml" ContentType="application/vnd.openxmlformats-officedocument.drawing+xml"/>
  <Override PartName="/xl/charts/chart192.xml" ContentType="application/vnd.openxmlformats-officedocument.drawingml.chart+xml"/>
  <Override PartName="/xl/drawings/drawing211.xml" ContentType="application/vnd.openxmlformats-officedocument.drawing+xml"/>
  <Override PartName="/xl/charts/chart193.xml" ContentType="application/vnd.openxmlformats-officedocument.drawingml.chart+xml"/>
  <Override PartName="/xl/drawings/drawing212.xml" ContentType="application/vnd.openxmlformats-officedocument.drawing+xml"/>
  <Override PartName="/xl/charts/chart194.xml" ContentType="application/vnd.openxmlformats-officedocument.drawingml.chart+xml"/>
  <Override PartName="/xl/drawings/drawing213.xml" ContentType="application/vnd.openxmlformats-officedocument.drawing+xml"/>
  <Override PartName="/xl/charts/chart195.xml" ContentType="application/vnd.openxmlformats-officedocument.drawingml.chart+xml"/>
  <Override PartName="/xl/drawings/drawing214.xml" ContentType="application/vnd.openxmlformats-officedocument.drawing+xml"/>
  <Override PartName="/xl/charts/chart196.xml" ContentType="application/vnd.openxmlformats-officedocument.drawingml.chart+xml"/>
  <Override PartName="/xl/drawings/drawing215.xml" ContentType="application/vnd.openxmlformats-officedocument.drawing+xml"/>
  <Override PartName="/xl/charts/chart197.xml" ContentType="application/vnd.openxmlformats-officedocument.drawingml.chart+xml"/>
  <Override PartName="/xl/drawings/drawing216.xml" ContentType="application/vnd.openxmlformats-officedocument.drawing+xml"/>
  <Override PartName="/xl/charts/chart198.xml" ContentType="application/vnd.openxmlformats-officedocument.drawingml.chart+xml"/>
  <Override PartName="/xl/drawings/drawing217.xml" ContentType="application/vnd.openxmlformats-officedocument.drawing+xml"/>
  <Override PartName="/xl/charts/chart199.xml" ContentType="application/vnd.openxmlformats-officedocument.drawingml.chart+xml"/>
  <Override PartName="/xl/drawings/drawing218.xml" ContentType="application/vnd.openxmlformats-officedocument.drawing+xml"/>
  <Override PartName="/xl/charts/chart200.xml" ContentType="application/vnd.openxmlformats-officedocument.drawingml.chart+xml"/>
  <Override PartName="/xl/drawings/drawing219.xml" ContentType="application/vnd.openxmlformats-officedocument.drawing+xml"/>
  <Override PartName="/xl/charts/chart201.xml" ContentType="application/vnd.openxmlformats-officedocument.drawingml.chart+xml"/>
  <Override PartName="/xl/drawings/drawing220.xml" ContentType="application/vnd.openxmlformats-officedocument.drawing+xml"/>
  <Override PartName="/xl/charts/chart202.xml" ContentType="application/vnd.openxmlformats-officedocument.drawingml.chart+xml"/>
  <Override PartName="/xl/drawings/drawing221.xml" ContentType="application/vnd.openxmlformats-officedocument.drawing+xml"/>
  <Override PartName="/xl/charts/chart203.xml" ContentType="application/vnd.openxmlformats-officedocument.drawingml.chart+xml"/>
  <Override PartName="/xl/drawings/drawing222.xml" ContentType="application/vnd.openxmlformats-officedocument.drawing+xml"/>
  <Override PartName="/xl/charts/chart204.xml" ContentType="application/vnd.openxmlformats-officedocument.drawingml.chart+xml"/>
  <Override PartName="/xl/drawings/drawing223.xml" ContentType="application/vnd.openxmlformats-officedocument.drawing+xml"/>
  <Override PartName="/xl/charts/chart205.xml" ContentType="application/vnd.openxmlformats-officedocument.drawingml.chart+xml"/>
  <Override PartName="/xl/drawings/drawing224.xml" ContentType="application/vnd.openxmlformats-officedocument.drawing+xml"/>
  <Override PartName="/xl/charts/chart206.xml" ContentType="application/vnd.openxmlformats-officedocument.drawingml.chart+xml"/>
  <Override PartName="/xl/drawings/drawing225.xml" ContentType="application/vnd.openxmlformats-officedocument.drawing+xml"/>
  <Override PartName="/xl/charts/chart207.xml" ContentType="application/vnd.openxmlformats-officedocument.drawingml.chart+xml"/>
  <Override PartName="/xl/drawings/drawing226.xml" ContentType="application/vnd.openxmlformats-officedocument.drawing+xml"/>
  <Override PartName="/xl/charts/chart208.xml" ContentType="application/vnd.openxmlformats-officedocument.drawingml.chart+xml"/>
  <Override PartName="/xl/drawings/drawing227.xml" ContentType="application/vnd.openxmlformats-officedocument.drawing+xml"/>
  <Override PartName="/xl/charts/chart209.xml" ContentType="application/vnd.openxmlformats-officedocument.drawingml.chart+xml"/>
  <Override PartName="/xl/drawings/drawing228.xml" ContentType="application/vnd.openxmlformats-officedocument.drawing+xml"/>
  <Override PartName="/xl/charts/chart210.xml" ContentType="application/vnd.openxmlformats-officedocument.drawingml.chart+xml"/>
  <Override PartName="/xl/drawings/drawing229.xml" ContentType="application/vnd.openxmlformats-officedocument.drawing+xml"/>
  <Override PartName="/xl/charts/chart211.xml" ContentType="application/vnd.openxmlformats-officedocument.drawingml.chart+xml"/>
  <Override PartName="/xl/drawings/drawing230.xml" ContentType="application/vnd.openxmlformats-officedocument.drawing+xml"/>
  <Override PartName="/xl/charts/chart212.xml" ContentType="application/vnd.openxmlformats-officedocument.drawingml.chart+xml"/>
  <Override PartName="/xl/drawings/drawing231.xml" ContentType="application/vnd.openxmlformats-officedocument.drawing+xml"/>
  <Override PartName="/xl/charts/chart213.xml" ContentType="application/vnd.openxmlformats-officedocument.drawingml.chart+xml"/>
  <Override PartName="/xl/drawings/drawing232.xml" ContentType="application/vnd.openxmlformats-officedocument.drawing+xml"/>
  <Override PartName="/xl/charts/chart214.xml" ContentType="application/vnd.openxmlformats-officedocument.drawingml.chart+xml"/>
  <Override PartName="/xl/drawings/drawing233.xml" ContentType="application/vnd.openxmlformats-officedocument.drawing+xml"/>
  <Override PartName="/xl/charts/chart215.xml" ContentType="application/vnd.openxmlformats-officedocument.drawingml.chart+xml"/>
  <Override PartName="/xl/drawings/drawing234.xml" ContentType="application/vnd.openxmlformats-officedocument.drawing+xml"/>
  <Override PartName="/xl/charts/chart216.xml" ContentType="application/vnd.openxmlformats-officedocument.drawingml.chart+xml"/>
  <Override PartName="/xl/drawings/drawing235.xml" ContentType="application/vnd.openxmlformats-officedocument.drawing+xml"/>
  <Override PartName="/xl/charts/chart217.xml" ContentType="application/vnd.openxmlformats-officedocument.drawingml.chart+xml"/>
  <Override PartName="/xl/drawings/drawing236.xml" ContentType="application/vnd.openxmlformats-officedocument.drawing+xml"/>
  <Override PartName="/xl/charts/chart218.xml" ContentType="application/vnd.openxmlformats-officedocument.drawingml.chart+xml"/>
  <Override PartName="/xl/drawings/drawing237.xml" ContentType="application/vnd.openxmlformats-officedocument.drawing+xml"/>
  <Override PartName="/xl/charts/chart219.xml" ContentType="application/vnd.openxmlformats-officedocument.drawingml.chart+xml"/>
  <Override PartName="/xl/drawings/drawing238.xml" ContentType="application/vnd.openxmlformats-officedocument.drawing+xml"/>
  <Override PartName="/xl/charts/chart220.xml" ContentType="application/vnd.openxmlformats-officedocument.drawingml.chart+xml"/>
  <Override PartName="/xl/drawings/drawing239.xml" ContentType="application/vnd.openxmlformats-officedocument.drawing+xml"/>
  <Override PartName="/xl/charts/chart221.xml" ContentType="application/vnd.openxmlformats-officedocument.drawingml.chart+xml"/>
  <Override PartName="/xl/drawings/drawing240.xml" ContentType="application/vnd.openxmlformats-officedocument.drawing+xml"/>
  <Override PartName="/xl/charts/chart222.xml" ContentType="application/vnd.openxmlformats-officedocument.drawingml.chart+xml"/>
  <Override PartName="/xl/drawings/drawing241.xml" ContentType="application/vnd.openxmlformats-officedocument.drawing+xml"/>
  <Override PartName="/xl/charts/chart223.xml" ContentType="application/vnd.openxmlformats-officedocument.drawingml.chart+xml"/>
  <Override PartName="/xl/drawings/drawing242.xml" ContentType="application/vnd.openxmlformats-officedocument.drawing+xml"/>
  <Override PartName="/xl/charts/chart224.xml" ContentType="application/vnd.openxmlformats-officedocument.drawingml.chart+xml"/>
  <Override PartName="/xl/drawings/drawing243.xml" ContentType="application/vnd.openxmlformats-officedocument.drawing+xml"/>
  <Override PartName="/xl/charts/chart225.xml" ContentType="application/vnd.openxmlformats-officedocument.drawingml.chart+xml"/>
  <Override PartName="/xl/drawings/drawing244.xml" ContentType="application/vnd.openxmlformats-officedocument.drawing+xml"/>
  <Override PartName="/xl/charts/chart226.xml" ContentType="application/vnd.openxmlformats-officedocument.drawingml.chart+xml"/>
  <Override PartName="/xl/drawings/drawing245.xml" ContentType="application/vnd.openxmlformats-officedocument.drawing+xml"/>
  <Override PartName="/xl/charts/chart227.xml" ContentType="application/vnd.openxmlformats-officedocument.drawingml.chart+xml"/>
  <Override PartName="/xl/drawings/drawing246.xml" ContentType="application/vnd.openxmlformats-officedocument.drawing+xml"/>
  <Override PartName="/xl/charts/chart228.xml" ContentType="application/vnd.openxmlformats-officedocument.drawingml.chart+xml"/>
  <Override PartName="/xl/drawings/drawing247.xml" ContentType="application/vnd.openxmlformats-officedocument.drawing+xml"/>
  <Override PartName="/xl/charts/chart229.xml" ContentType="application/vnd.openxmlformats-officedocument.drawingml.chart+xml"/>
  <Override PartName="/xl/drawings/drawing248.xml" ContentType="application/vnd.openxmlformats-officedocument.drawing+xml"/>
  <Override PartName="/xl/charts/chart230.xml" ContentType="application/vnd.openxmlformats-officedocument.drawingml.chart+xml"/>
  <Override PartName="/xl/drawings/drawing249.xml" ContentType="application/vnd.openxmlformats-officedocument.drawing+xml"/>
  <Override PartName="/xl/charts/chart231.xml" ContentType="application/vnd.openxmlformats-officedocument.drawingml.chart+xml"/>
  <Override PartName="/xl/drawings/drawing250.xml" ContentType="application/vnd.openxmlformats-officedocument.drawing+xml"/>
  <Override PartName="/xl/charts/chart232.xml" ContentType="application/vnd.openxmlformats-officedocument.drawingml.chart+xml"/>
  <Override PartName="/xl/drawings/drawing251.xml" ContentType="application/vnd.openxmlformats-officedocument.drawing+xml"/>
  <Override PartName="/xl/charts/chart233.xml" ContentType="application/vnd.openxmlformats-officedocument.drawingml.chart+xml"/>
  <Override PartName="/xl/drawings/drawing252.xml" ContentType="application/vnd.openxmlformats-officedocument.drawing+xml"/>
  <Override PartName="/xl/charts/chart234.xml" ContentType="application/vnd.openxmlformats-officedocument.drawingml.chart+xml"/>
  <Override PartName="/xl/drawings/drawing253.xml" ContentType="application/vnd.openxmlformats-officedocument.drawing+xml"/>
  <Override PartName="/xl/charts/chart235.xml" ContentType="application/vnd.openxmlformats-officedocument.drawingml.chart+xml"/>
  <Override PartName="/xl/drawings/drawing254.xml" ContentType="application/vnd.openxmlformats-officedocument.drawing+xml"/>
  <Override PartName="/xl/charts/chart236.xml" ContentType="application/vnd.openxmlformats-officedocument.drawingml.chart+xml"/>
  <Override PartName="/xl/drawings/drawing255.xml" ContentType="application/vnd.openxmlformats-officedocument.drawing+xml"/>
  <Override PartName="/xl/charts/chart237.xml" ContentType="application/vnd.openxmlformats-officedocument.drawingml.chart+xml"/>
  <Override PartName="/xl/drawings/drawing256.xml" ContentType="application/vnd.openxmlformats-officedocument.drawing+xml"/>
  <Override PartName="/xl/charts/chart238.xml" ContentType="application/vnd.openxmlformats-officedocument.drawingml.chart+xml"/>
  <Override PartName="/xl/drawings/drawing257.xml" ContentType="application/vnd.openxmlformats-officedocument.drawing+xml"/>
  <Override PartName="/xl/charts/chart239.xml" ContentType="application/vnd.openxmlformats-officedocument.drawingml.chart+xml"/>
  <Override PartName="/xl/drawings/drawing258.xml" ContentType="application/vnd.openxmlformats-officedocument.drawing+xml"/>
  <Override PartName="/xl/charts/chart240.xml" ContentType="application/vnd.openxmlformats-officedocument.drawingml.chart+xml"/>
  <Override PartName="/xl/drawings/drawing259.xml" ContentType="application/vnd.openxmlformats-officedocument.drawing+xml"/>
  <Override PartName="/xl/charts/chart241.xml" ContentType="application/vnd.openxmlformats-officedocument.drawingml.chart+xml"/>
  <Override PartName="/xl/drawings/drawing260.xml" ContentType="application/vnd.openxmlformats-officedocument.drawing+xml"/>
  <Override PartName="/xl/charts/chart242.xml" ContentType="application/vnd.openxmlformats-officedocument.drawingml.chart+xml"/>
  <Override PartName="/xl/drawings/drawing261.xml" ContentType="application/vnd.openxmlformats-officedocument.drawing+xml"/>
  <Override PartName="/xl/charts/chart243.xml" ContentType="application/vnd.openxmlformats-officedocument.drawingml.chart+xml"/>
  <Override PartName="/xl/drawings/drawing262.xml" ContentType="application/vnd.openxmlformats-officedocument.drawing+xml"/>
  <Override PartName="/xl/charts/chart244.xml" ContentType="application/vnd.openxmlformats-officedocument.drawingml.chart+xml"/>
  <Override PartName="/xl/drawings/drawing263.xml" ContentType="application/vnd.openxmlformats-officedocument.drawing+xml"/>
  <Override PartName="/xl/charts/chart245.xml" ContentType="application/vnd.openxmlformats-officedocument.drawingml.chart+xml"/>
  <Override PartName="/xl/drawings/drawing264.xml" ContentType="application/vnd.openxmlformats-officedocument.drawing+xml"/>
  <Override PartName="/xl/charts/chart246.xml" ContentType="application/vnd.openxmlformats-officedocument.drawingml.chart+xml"/>
  <Override PartName="/xl/drawings/drawing265.xml" ContentType="application/vnd.openxmlformats-officedocument.drawing+xml"/>
  <Override PartName="/xl/charts/chart247.xml" ContentType="application/vnd.openxmlformats-officedocument.drawingml.chart+xml"/>
  <Override PartName="/xl/drawings/drawing266.xml" ContentType="application/vnd.openxmlformats-officedocument.drawing+xml"/>
  <Override PartName="/xl/charts/chart24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ThisWorkbook" defaultThemeVersion="124226"/>
  <bookViews>
    <workbookView xWindow="10230" yWindow="-15" windowWidth="10275" windowHeight="8175" tabRatio="886" firstSheet="33" activeTab="34"/>
  </bookViews>
  <sheets>
    <sheet name="Section 2 data" sheetId="202" state="hidden" r:id="rId1"/>
    <sheet name="Section 2 data country" sheetId="274" state="hidden" r:id="rId2"/>
    <sheet name="Section 3 data" sheetId="239" state="hidden" r:id="rId3"/>
    <sheet name="Section 3 data country" sheetId="281" state="hidden" r:id="rId4"/>
    <sheet name="Section 4 data" sheetId="201" state="hidden" r:id="rId5"/>
    <sheet name="Section 4 data country" sheetId="288" state="hidden" r:id="rId6"/>
    <sheet name="Section 5 data" sheetId="240" state="hidden" r:id="rId7"/>
    <sheet name="Section 5 data country" sheetId="309" state="hidden" r:id="rId8"/>
    <sheet name="Section 6 data" sheetId="241" state="hidden" r:id="rId9"/>
    <sheet name="Section 6 data country" sheetId="295" state="hidden" r:id="rId10"/>
    <sheet name="Section 8 data" sheetId="242" state="hidden" r:id="rId11"/>
    <sheet name="Section 8 data country" sheetId="479" state="hidden" r:id="rId12"/>
    <sheet name="Section 9 chart data" sheetId="171" state="hidden" r:id="rId13"/>
    <sheet name="Section 9 data country" sheetId="327" state="hidden" r:id="rId14"/>
    <sheet name="Section 10 chart data" sheetId="173" state="hidden" r:id="rId15"/>
    <sheet name="Section 10 data country" sheetId="322" state="hidden" r:id="rId16"/>
    <sheet name="Section 11 chart data" sheetId="174" state="hidden" r:id="rId17"/>
    <sheet name="Section 11 data country" sheetId="316" state="hidden" r:id="rId18"/>
    <sheet name="Section 12 data" sheetId="229" state="hidden" r:id="rId19"/>
    <sheet name="Section 12 data country" sheetId="245" state="hidden" r:id="rId20"/>
    <sheet name="Section 13 data" sheetId="227" state="hidden" r:id="rId21"/>
    <sheet name="Section 13 data country" sheetId="252" state="hidden" r:id="rId22"/>
    <sheet name="Section 14 data" sheetId="225" state="hidden" r:id="rId23"/>
    <sheet name="Section 14 data country" sheetId="259" state="hidden" r:id="rId24"/>
    <sheet name="Section 15 data" sheetId="211" state="hidden" r:id="rId25"/>
    <sheet name="Section 15 data country" sheetId="267" state="hidden" r:id="rId26"/>
    <sheet name="Square data" sheetId="243" state="hidden" r:id="rId27"/>
    <sheet name="Management data" sheetId="332" state="hidden" r:id="rId28"/>
    <sheet name="Thinning data" sheetId="333" state="hidden" r:id="rId29"/>
    <sheet name="Harvesting data" sheetId="194" state="hidden" r:id="rId30"/>
    <sheet name="Road distance data" sheetId="196" state="hidden" r:id="rId31"/>
    <sheet name="Road data" sheetId="198" state="hidden" r:id="rId32"/>
    <sheet name="Yield class data" sheetId="244" state="hidden" r:id="rId33"/>
    <sheet name="Key findings" sheetId="456" r:id="rId34"/>
    <sheet name="Index" sheetId="1" r:id="rId35"/>
    <sheet name="Section 1" sheetId="203" r:id="rId36"/>
    <sheet name="Figure 1" sheetId="237" r:id="rId37"/>
    <sheet name="Figure 1 report" sheetId="457" r:id="rId38"/>
    <sheet name="Table 1" sheetId="2" r:id="rId39"/>
    <sheet name="Figure 2" sheetId="231" r:id="rId40"/>
    <sheet name="Figure 2 report" sheetId="334" r:id="rId41"/>
    <sheet name="Table 2" sheetId="3" r:id="rId42"/>
    <sheet name="Eng Figure 3" sheetId="460" r:id="rId43"/>
    <sheet name="Eng Figure 3 report" sheetId="465" r:id="rId44"/>
    <sheet name="Eng Figure 4" sheetId="461" r:id="rId45"/>
    <sheet name="Eng Figure 4 report" sheetId="466" r:id="rId46"/>
    <sheet name="Eng Figure 5 notused" sheetId="462" r:id="rId47"/>
    <sheet name="Eng Figure 5 report notused" sheetId="467" r:id="rId48"/>
    <sheet name="Eng Figure 5" sheetId="463" r:id="rId49"/>
    <sheet name="Eng Figure 5 report" sheetId="468" r:id="rId50"/>
    <sheet name="Eng Table 3" sheetId="464" r:id="rId51"/>
    <sheet name="Eng Figure 6" sheetId="232" r:id="rId52"/>
    <sheet name="Eng Figure 6 report" sheetId="335" r:id="rId53"/>
    <sheet name="Eng Table 4" sheetId="4" r:id="rId54"/>
    <sheet name="Eng Figure 7" sheetId="233" r:id="rId55"/>
    <sheet name="Eng Figure 7 report" sheetId="336" r:id="rId56"/>
    <sheet name="Eng Table 5" sheetId="5" r:id="rId57"/>
    <sheet name="Eng Figure 8" sheetId="234" r:id="rId58"/>
    <sheet name="Eng Figure 8 report" sheetId="337" r:id="rId59"/>
    <sheet name="Eng Table 6" sheetId="6" r:id="rId60"/>
    <sheet name="Eng Table 7" sheetId="7" r:id="rId61"/>
    <sheet name="Eng Figure 9" sheetId="235" r:id="rId62"/>
    <sheet name="Eng Figure 9 report" sheetId="338" r:id="rId63"/>
    <sheet name="Eng Table 8" sheetId="8" r:id="rId64"/>
    <sheet name="Eng Figure 10" sheetId="236" r:id="rId65"/>
    <sheet name="Eng Figure 10 report" sheetId="339" r:id="rId66"/>
    <sheet name="Eng Table 9" sheetId="9" r:id="rId67"/>
    <sheet name="Section 2" sheetId="156" r:id="rId68"/>
    <sheet name="Eng Figure 11" sheetId="69" r:id="rId69"/>
    <sheet name="Eng Figure 11 report" sheetId="344" r:id="rId70"/>
    <sheet name="Eng Table 10" sheetId="10" r:id="rId71"/>
    <sheet name="Eng Figure 12" sheetId="67" r:id="rId72"/>
    <sheet name="Eng Figure 12 report" sheetId="345" r:id="rId73"/>
    <sheet name="Eng Figure 13" sheetId="68" r:id="rId74"/>
    <sheet name="Eng Figure 13 report" sheetId="346" r:id="rId75"/>
    <sheet name="Eng Figure 14" sheetId="275" r:id="rId76"/>
    <sheet name="Eng Figure 14 report" sheetId="340" r:id="rId77"/>
    <sheet name="Eng Table 11" sheetId="278" r:id="rId78"/>
    <sheet name="Eng Figure 15" sheetId="276" r:id="rId79"/>
    <sheet name="Eng Figure 15 report" sheetId="341" r:id="rId80"/>
    <sheet name="Eng Table 12" sheetId="469" r:id="rId81"/>
    <sheet name="Eng Figure 16" sheetId="277" r:id="rId82"/>
    <sheet name="Eng Figure 16 report" sheetId="342" r:id="rId83"/>
    <sheet name="Eng Table 13" sheetId="470" r:id="rId84"/>
    <sheet name="Eng Figure 17" sheetId="70" r:id="rId85"/>
    <sheet name="Eng Figure 17 report" sheetId="347" r:id="rId86"/>
    <sheet name="Eng Table 14" sheetId="11" r:id="rId87"/>
    <sheet name="Eng Figure 18" sheetId="72" r:id="rId88"/>
    <sheet name="Eng Figure 18 report" sheetId="348" r:id="rId89"/>
    <sheet name="Eng Table 15" sheetId="12" r:id="rId90"/>
    <sheet name="Eng Figure 19" sheetId="279" r:id="rId91"/>
    <sheet name="Eng Figure 19 report" sheetId="343" r:id="rId92"/>
    <sheet name="Eng Table 16" sheetId="280" r:id="rId93"/>
    <sheet name="Eng Figure 20" sheetId="238" r:id="rId94"/>
    <sheet name="Eng Figure 20 report" sheetId="349" r:id="rId95"/>
    <sheet name="Eng Table 17" sheetId="14" r:id="rId96"/>
    <sheet name="Section 3" sheetId="157" r:id="rId97"/>
    <sheet name="Eng Figure 21" sheetId="73" r:id="rId98"/>
    <sheet name="Eng Figure 21 report" sheetId="357" r:id="rId99"/>
    <sheet name="Eng Table 18" sheetId="15" r:id="rId100"/>
    <sheet name="Eng Figure 22" sheetId="74" r:id="rId101"/>
    <sheet name="Eng Figure 22 report" sheetId="358" r:id="rId102"/>
    <sheet name="Eng Figure 23" sheetId="75" r:id="rId103"/>
    <sheet name="Eng Figure 23 report" sheetId="359" r:id="rId104"/>
    <sheet name="Eng Figure 24" sheetId="282" r:id="rId105"/>
    <sheet name="Eng Figure 24 report" sheetId="354" r:id="rId106"/>
    <sheet name="Eng Table 19" sheetId="285" r:id="rId107"/>
    <sheet name="Eng Figure 25" sheetId="283" r:id="rId108"/>
    <sheet name="Eng Figure 25 report" sheetId="355" r:id="rId109"/>
    <sheet name="Eng Table 20" sheetId="471" r:id="rId110"/>
    <sheet name="Eng Figure 26" sheetId="284" r:id="rId111"/>
    <sheet name="Eng Figure 26  report" sheetId="356" r:id="rId112"/>
    <sheet name="Eng Table 21" sheetId="472" r:id="rId113"/>
    <sheet name="Eng Figure 27" sheetId="76" r:id="rId114"/>
    <sheet name="Eng Figure 27 report" sheetId="360" r:id="rId115"/>
    <sheet name="Eng Table 22" sheetId="16" r:id="rId116"/>
    <sheet name="Eng Figure 28" sheetId="78" r:id="rId117"/>
    <sheet name="Eng Figure 28 report" sheetId="361" r:id="rId118"/>
    <sheet name="Eng Table 23" sheetId="17" r:id="rId119"/>
    <sheet name="Section 4" sheetId="158" r:id="rId120"/>
    <sheet name="Eng Figure 29" sheetId="80" r:id="rId121"/>
    <sheet name="Eng Figure 29 report" sheetId="365" r:id="rId122"/>
    <sheet name="Eng Table 24" sheetId="18" r:id="rId123"/>
    <sheet name="Eng Figure 30" sheetId="289" r:id="rId124"/>
    <sheet name="Eng Figure 30 report" sheetId="362" r:id="rId125"/>
    <sheet name="Eng Table 25" sheetId="292" r:id="rId126"/>
    <sheet name="Eng Figure 31" sheetId="290" r:id="rId127"/>
    <sheet name="Eng Figure 31 report" sheetId="363" r:id="rId128"/>
    <sheet name="Eng Table 26" sheetId="473" r:id="rId129"/>
    <sheet name="Eng Figure 32" sheetId="291" r:id="rId130"/>
    <sheet name="Eng Figure 32 report" sheetId="364" r:id="rId131"/>
    <sheet name="Eng Table 27" sheetId="474" r:id="rId132"/>
    <sheet name="Eng Figure 33" sheetId="83" r:id="rId133"/>
    <sheet name="Eng Figure 33 report" sheetId="366" r:id="rId134"/>
    <sheet name="Eng Table 28" sheetId="19" r:id="rId135"/>
    <sheet name="Eng Figure 34" sheetId="85" r:id="rId136"/>
    <sheet name="Eng Figure 34 report" sheetId="367" r:id="rId137"/>
    <sheet name="Eng Table 29" sheetId="20" r:id="rId138"/>
    <sheet name="Section 5" sheetId="159" r:id="rId139"/>
    <sheet name="Eng Figure 35" sheetId="87" r:id="rId140"/>
    <sheet name="Eng Figure 35 report" sheetId="371" r:id="rId141"/>
    <sheet name="Eng Table 30" sheetId="21" r:id="rId142"/>
    <sheet name="Eng Figure 36" sheetId="310" r:id="rId143"/>
    <sheet name="Eng Figure 36 report" sheetId="368" r:id="rId144"/>
    <sheet name="Eng Table 31" sheetId="475" r:id="rId145"/>
    <sheet name="Eng Figure 37" sheetId="311" r:id="rId146"/>
    <sheet name="Eng Figure 37 report" sheetId="369" r:id="rId147"/>
    <sheet name="Eng Table 32" sheetId="476" r:id="rId148"/>
    <sheet name="Eng Figure 38" sheetId="312" r:id="rId149"/>
    <sheet name="Eng Figure 38 report" sheetId="370" r:id="rId150"/>
    <sheet name="Eng Table 33" sheetId="313" r:id="rId151"/>
    <sheet name="Section 6" sheetId="160" r:id="rId152"/>
    <sheet name="Eng Figure 39" sheetId="88" r:id="rId153"/>
    <sheet name="Eng Figure 39 report" sheetId="376" r:id="rId154"/>
    <sheet name="Eng Table 34" sheetId="22" r:id="rId155"/>
    <sheet name="Eng Figure 40" sheetId="296" r:id="rId156"/>
    <sheet name="Eng Figure 40 report" sheetId="372" r:id="rId157"/>
    <sheet name="Eng Table 35" sheetId="477" r:id="rId158"/>
    <sheet name="Eng Figure 41" sheetId="297" r:id="rId159"/>
    <sheet name="Eng Figure 41 report" sheetId="373" r:id="rId160"/>
    <sheet name="Eng Table 36" sheetId="478" r:id="rId161"/>
    <sheet name="Eng Figure 42" sheetId="298" r:id="rId162"/>
    <sheet name="Eng Figure 42 report" sheetId="374" r:id="rId163"/>
    <sheet name="Eng Table 37" sheetId="299" r:id="rId164"/>
    <sheet name="Section 7" sheetId="161" r:id="rId165"/>
    <sheet name="Eng Table 38" sheetId="23" r:id="rId166"/>
    <sheet name="Eng Figure 43" sheetId="188" r:id="rId167"/>
    <sheet name="Eng Figure 43 report" sheetId="490" r:id="rId168"/>
    <sheet name="Eng Figure 44" sheetId="189" r:id="rId169"/>
    <sheet name="Eng Figure 44 report" sheetId="491" r:id="rId170"/>
    <sheet name="Eng Figure 45" sheetId="190" r:id="rId171"/>
    <sheet name="Eng Figure 45 report" sheetId="383" r:id="rId172"/>
    <sheet name="Eng Figure 46" sheetId="191" r:id="rId173"/>
    <sheet name="Eng Figure 46 report" sheetId="384" r:id="rId174"/>
    <sheet name="Eng Figure 47" sheetId="193" r:id="rId175"/>
    <sheet name="Eng Figure 47 report" sheetId="385" r:id="rId176"/>
    <sheet name="Eng Figure 48" sheetId="195" r:id="rId177"/>
    <sheet name="Eng Figure 48 report" sheetId="386" r:id="rId178"/>
    <sheet name="Eng Figure 49" sheetId="197" r:id="rId179"/>
    <sheet name="Eng Figure 49 report" sheetId="387" r:id="rId180"/>
    <sheet name="Eng Figure 50" sheetId="199" r:id="rId181"/>
    <sheet name="Eng Figure 50 report" sheetId="388" r:id="rId182"/>
    <sheet name="Eng Figure 51" sheetId="200" r:id="rId183"/>
    <sheet name="Eng Figure 51 report" sheetId="389" r:id="rId184"/>
    <sheet name="Eng Figure 52" sheetId="109" r:id="rId185"/>
    <sheet name="Eng Figure 52 report" sheetId="390" r:id="rId186"/>
    <sheet name="Eng Table 39" sheetId="108" r:id="rId187"/>
    <sheet name="Section 8" sheetId="162" r:id="rId188"/>
    <sheet name="Eng Table 40" sheetId="24" r:id="rId189"/>
    <sheet name="Eng Table 41" sheetId="163" r:id="rId190"/>
    <sheet name="Eng Figure 53" sheetId="480" r:id="rId191"/>
    <sheet name="Eng Figure 53 report" sheetId="483" r:id="rId192"/>
    <sheet name="Eng Figure 54" sheetId="481" r:id="rId193"/>
    <sheet name="Eng Figure 54 report" sheetId="484" r:id="rId194"/>
    <sheet name="Eng Table 42" sheetId="351" r:id="rId195"/>
    <sheet name="Eng Table 43" sheetId="352" r:id="rId196"/>
    <sheet name="Eng Table 44" sheetId="485" r:id="rId197"/>
    <sheet name="Eng Table 45" sheetId="486" r:id="rId198"/>
    <sheet name="Eng Table 46" sheetId="487" r:id="rId199"/>
    <sheet name="Eng Table 47" sheetId="488" r:id="rId200"/>
    <sheet name="Section 9" sheetId="164" r:id="rId201"/>
    <sheet name="Eng Figure 55" sheetId="89" r:id="rId202"/>
    <sheet name="Eng Figure 55 report" sheetId="394" r:id="rId203"/>
    <sheet name="Eng Figure 56" sheetId="185" r:id="rId204"/>
    <sheet name="Eng Figure 56 report" sheetId="395" r:id="rId205"/>
    <sheet name="Eng Table 48" sheetId="30" r:id="rId206"/>
    <sheet name="Eng Table 49" sheetId="25" r:id="rId207"/>
    <sheet name="Eng Table 50" sheetId="26" r:id="rId208"/>
    <sheet name="Eng Table 51" sheetId="27" r:id="rId209"/>
    <sheet name="Eng Figure 57" sheetId="90" r:id="rId210"/>
    <sheet name="Eng Figure 57 report" sheetId="396" r:id="rId211"/>
    <sheet name="Eng Table 52" sheetId="28" r:id="rId212"/>
    <sheet name="Eng Figure 58" sheetId="91" r:id="rId213"/>
    <sheet name="Eng Figure 58 report" sheetId="397" r:id="rId214"/>
    <sheet name="Eng Table 53" sheetId="29" r:id="rId215"/>
    <sheet name="Eng Figure 59" sheetId="172" r:id="rId216"/>
    <sheet name="Eng Figure 59 report" sheetId="398" r:id="rId217"/>
    <sheet name="Eng Figure 60" sheetId="328" r:id="rId218"/>
    <sheet name="Eng Figure 60 report" sheetId="391" r:id="rId219"/>
    <sheet name="Eng Figure 61" sheetId="329" r:id="rId220"/>
    <sheet name="Eng Figure 61 report" sheetId="392" r:id="rId221"/>
    <sheet name="Eng Figure 62" sheetId="330" r:id="rId222"/>
    <sheet name="Eng Figure 62 report" sheetId="393" r:id="rId223"/>
    <sheet name="Eng Table 54" sheetId="331" r:id="rId224"/>
    <sheet name="Section 10" sheetId="165" r:id="rId225"/>
    <sheet name="Eng Figure 63" sheetId="175" r:id="rId226"/>
    <sheet name="Eng Figure 63 report" sheetId="402" r:id="rId227"/>
    <sheet name="Eng Figure 64" sheetId="184" r:id="rId228"/>
    <sheet name="Eng Figure 64 report" sheetId="403" r:id="rId229"/>
    <sheet name="Eng Table 55" sheetId="36" r:id="rId230"/>
    <sheet name="Eng Table 56" sheetId="37" r:id="rId231"/>
    <sheet name="Eng Table 57" sheetId="32" r:id="rId232"/>
    <sheet name="Eng Figure 65" sheetId="176" r:id="rId233"/>
    <sheet name="Eng Figure 65 report" sheetId="404" r:id="rId234"/>
    <sheet name="Eng Table 58" sheetId="39" r:id="rId235"/>
    <sheet name="Eng Figure 66" sheetId="177" r:id="rId236"/>
    <sheet name="Eng Figure 66 report" sheetId="405" r:id="rId237"/>
    <sheet name="Eng Table 59" sheetId="41" r:id="rId238"/>
    <sheet name="Eng Figure 67" sheetId="178" r:id="rId239"/>
    <sheet name="Eng Figure 67 report" sheetId="406" r:id="rId240"/>
    <sheet name="Eng Figure 68" sheetId="323" r:id="rId241"/>
    <sheet name="Eng Figure 68 report" sheetId="399" r:id="rId242"/>
    <sheet name="Eng Figure 69" sheetId="324" r:id="rId243"/>
    <sheet name="Eng Figure 69 report" sheetId="400" r:id="rId244"/>
    <sheet name="Eng Figure 70" sheetId="325" r:id="rId245"/>
    <sheet name="Eng Figure 70 report" sheetId="401" r:id="rId246"/>
    <sheet name="Eng Table 60" sheetId="326" r:id="rId247"/>
    <sheet name="Section 11" sheetId="166" r:id="rId248"/>
    <sheet name="Eng Figure 71" sheetId="179" r:id="rId249"/>
    <sheet name="Eng Figure 71 report" sheetId="410" r:id="rId250"/>
    <sheet name="Eng Figure 72" sheetId="183" r:id="rId251"/>
    <sheet name="Eng Figure 72 report" sheetId="411" r:id="rId252"/>
    <sheet name="Eng Table 61" sheetId="31" r:id="rId253"/>
    <sheet name="Eng Table 62" sheetId="33" r:id="rId254"/>
    <sheet name="Eng Table 63" sheetId="38" r:id="rId255"/>
    <sheet name="Eng Figure 73" sheetId="180" r:id="rId256"/>
    <sheet name="Eng Figure 73 report" sheetId="412" r:id="rId257"/>
    <sheet name="Eng Table 64" sheetId="34" r:id="rId258"/>
    <sheet name="Eng Table 65" sheetId="40" r:id="rId259"/>
    <sheet name="Eng Figure 74" sheetId="181" r:id="rId260"/>
    <sheet name="Eng Figure 74 report" sheetId="413" r:id="rId261"/>
    <sheet name="Eng Table 66" sheetId="35" r:id="rId262"/>
    <sheet name="Eng Table 67" sheetId="42" r:id="rId263"/>
    <sheet name="Eng Figure 75" sheetId="182" r:id="rId264"/>
    <sheet name="Eng Figure 75 report" sheetId="414" r:id="rId265"/>
    <sheet name="Eng Figure 76" sheetId="317" r:id="rId266"/>
    <sheet name="Eng Figure 76 report" sheetId="407" r:id="rId267"/>
    <sheet name="Eng Figure 77" sheetId="318" r:id="rId268"/>
    <sheet name="Eng Figure 77 report" sheetId="408" r:id="rId269"/>
    <sheet name="Eng Figure 78" sheetId="319" r:id="rId270"/>
    <sheet name="Eng Figure 78 report" sheetId="409" r:id="rId271"/>
    <sheet name="Eng Table 68" sheetId="320" r:id="rId272"/>
    <sheet name="Section 12" sheetId="94" r:id="rId273"/>
    <sheet name="Eng Figure 79" sheetId="95" r:id="rId274"/>
    <sheet name="Eng Figure 79 report" sheetId="415" r:id="rId275"/>
    <sheet name="Eng Table 69" sheetId="43" r:id="rId276"/>
    <sheet name="Eng Figure 80" sheetId="97" r:id="rId277"/>
    <sheet name="Eng Figure 80 report" sheetId="417" r:id="rId278"/>
    <sheet name="Eng Table 70" sheetId="44" r:id="rId279"/>
    <sheet name="Eng Figure 81" sheetId="98" r:id="rId280"/>
    <sheet name="Eng Figure 81 report" sheetId="418" r:id="rId281"/>
    <sheet name="Eng Table 71" sheetId="45" r:id="rId282"/>
    <sheet name="Eng Figure 82" sheetId="99" r:id="rId283"/>
    <sheet name="Eng Figure 82 report" sheetId="419" r:id="rId284"/>
    <sheet name="Eng Table 72" sheetId="46" r:id="rId285"/>
    <sheet name="Eng Figure 83" sheetId="100" r:id="rId286"/>
    <sheet name="Eng Figure 83 report" sheetId="420" r:id="rId287"/>
    <sheet name="Eng Table 73" sheetId="47" r:id="rId288"/>
    <sheet name="Eng Figure 84" sheetId="101" r:id="rId289"/>
    <sheet name="Eng Figure 84 report" sheetId="421" r:id="rId290"/>
    <sheet name="Eng Table 74" sheetId="48" r:id="rId291"/>
    <sheet name="Eng Figure 85" sheetId="230" r:id="rId292"/>
    <sheet name="Eng Figure 85 report" sheetId="422" r:id="rId293"/>
    <sheet name="Eng Figure 86" sheetId="246" r:id="rId294"/>
    <sheet name="Eng Figure 86 report" sheetId="423" r:id="rId295"/>
    <sheet name="Eng Table 75" sheetId="249" r:id="rId296"/>
    <sheet name="Eng Figure 87" sheetId="247" r:id="rId297"/>
    <sheet name="Eng Figure 87 report" sheetId="424" r:id="rId298"/>
    <sheet name="Eng Table 76" sheetId="250" r:id="rId299"/>
    <sheet name="Eng Figure 88" sheetId="248" r:id="rId300"/>
    <sheet name="Eng Figure 88 report" sheetId="425" r:id="rId301"/>
    <sheet name="Eng Table 77" sheetId="251" r:id="rId302"/>
    <sheet name="Section 13" sheetId="110" r:id="rId303"/>
    <sheet name="Eng Figure 89" sheetId="118" r:id="rId304"/>
    <sheet name="Eng Figure 89 report" sheetId="429" r:id="rId305"/>
    <sheet name="Eng Table 78" sheetId="111" r:id="rId306"/>
    <sheet name="Eng Figure 90" sheetId="119" r:id="rId307"/>
    <sheet name="Eng Figure 90 report" sheetId="430" r:id="rId308"/>
    <sheet name="Eng Table 79" sheetId="112" r:id="rId309"/>
    <sheet name="Eng Figure 91" sheetId="120" r:id="rId310"/>
    <sheet name="Eng Figure 91 report" sheetId="431" r:id="rId311"/>
    <sheet name="Table 80" sheetId="113" r:id="rId312"/>
    <sheet name="Eng Figure 92" sheetId="121" r:id="rId313"/>
    <sheet name="Eng Figure 92 report" sheetId="433" r:id="rId314"/>
    <sheet name="Eng Table 81" sheetId="114" r:id="rId315"/>
    <sheet name="Eng Figure 93" sheetId="122" r:id="rId316"/>
    <sheet name="Eng Figure 93 report" sheetId="434" r:id="rId317"/>
    <sheet name="Eng Table 82" sheetId="115" r:id="rId318"/>
    <sheet name="Eng Figure 94" sheetId="123" r:id="rId319"/>
    <sheet name="Eng Figure 94 report" sheetId="435" r:id="rId320"/>
    <sheet name="Eng Table 83" sheetId="116" r:id="rId321"/>
    <sheet name="Eng Figure 95" sheetId="228" r:id="rId322"/>
    <sheet name="Eng Figure 95 report" sheetId="436" r:id="rId323"/>
    <sheet name="Eng Figure 96" sheetId="253" r:id="rId324"/>
    <sheet name="Eng Figure 96 report" sheetId="426" r:id="rId325"/>
    <sheet name="Eng Table 84" sheetId="256" r:id="rId326"/>
    <sheet name="Eng Figure 97" sheetId="254" r:id="rId327"/>
    <sheet name="Eng Figure 97 report" sheetId="427" r:id="rId328"/>
    <sheet name="Eng Table 85" sheetId="257" r:id="rId329"/>
    <sheet name="Eng Figure 98" sheetId="255" r:id="rId330"/>
    <sheet name="Eng Figure 98 report" sheetId="428" r:id="rId331"/>
    <sheet name="Eng Table 86" sheetId="258" r:id="rId332"/>
    <sheet name="Section 14" sheetId="133" r:id="rId333"/>
    <sheet name="Eng Figure 99" sheetId="141" r:id="rId334"/>
    <sheet name="Eng Figure 99 report" sheetId="440" r:id="rId335"/>
    <sheet name="Eng Table 87" sheetId="134" r:id="rId336"/>
    <sheet name="Eng Figure 100" sheetId="142" r:id="rId337"/>
    <sheet name="Eng Figure 100 report" sheetId="441" r:id="rId338"/>
    <sheet name="Table 88" sheetId="135" r:id="rId339"/>
    <sheet name="Eng Figure 101" sheetId="143" r:id="rId340"/>
    <sheet name="Eng Figure 101 report" sheetId="442" r:id="rId341"/>
    <sheet name="Table 89" sheetId="136" r:id="rId342"/>
    <sheet name="Eng Figure 102" sheetId="144" r:id="rId343"/>
    <sheet name="Eng Figure 102  report" sheetId="443" r:id="rId344"/>
    <sheet name="Eng Table 90" sheetId="137" r:id="rId345"/>
    <sheet name="Eng Figure 103" sheetId="145" r:id="rId346"/>
    <sheet name="Eng Figure 103 report" sheetId="444" r:id="rId347"/>
    <sheet name="Table 91" sheetId="138" r:id="rId348"/>
    <sheet name="Eng Figure 104" sheetId="146" r:id="rId349"/>
    <sheet name="Eng Figure 104 report" sheetId="445" r:id="rId350"/>
    <sheet name="Eng Table 92" sheetId="139" r:id="rId351"/>
    <sheet name="Eng Figure 105" sheetId="226" r:id="rId352"/>
    <sheet name="Eng Figure 105 report" sheetId="446" r:id="rId353"/>
    <sheet name="Eng Figure 106" sheetId="260" r:id="rId354"/>
    <sheet name="Eng Figure 106 report" sheetId="437" r:id="rId355"/>
    <sheet name="Eng Table 93" sheetId="263" r:id="rId356"/>
    <sheet name="Eng Figure 107" sheetId="261" r:id="rId357"/>
    <sheet name="Eng Figure 107 report" sheetId="438" r:id="rId358"/>
    <sheet name="Eng Table 94" sheetId="264" r:id="rId359"/>
    <sheet name="Eng Figure 108" sheetId="262" r:id="rId360"/>
    <sheet name="Eng Figure 108 report" sheetId="439" r:id="rId361"/>
    <sheet name="Eng Table 95" sheetId="265" r:id="rId362"/>
    <sheet name="Section 15" sheetId="204" r:id="rId363"/>
    <sheet name="Eng Figure 109" sheetId="212" r:id="rId364"/>
    <sheet name="Eng Figure 109 report" sheetId="450" r:id="rId365"/>
    <sheet name="Table 96" sheetId="205" r:id="rId366"/>
    <sheet name="Figure 71" sheetId="213" r:id="rId367"/>
    <sheet name="Figure 71 report" sheetId="458" r:id="rId368"/>
    <sheet name="Table 97" sheetId="206" r:id="rId369"/>
    <sheet name="Eng Figure 111" sheetId="214" r:id="rId370"/>
    <sheet name="Eng Figure 111 report" sheetId="451" r:id="rId371"/>
    <sheet name="Table 98" sheetId="207" r:id="rId372"/>
    <sheet name="Eng Figure 112" sheetId="215" r:id="rId373"/>
    <sheet name="Eng Figure 112 report" sheetId="452" r:id="rId374"/>
    <sheet name="Table 99" sheetId="208" r:id="rId375"/>
    <sheet name="Eng Figure 113" sheetId="216" r:id="rId376"/>
    <sheet name="Eng Figure 113 report" sheetId="453" r:id="rId377"/>
    <sheet name="Eng Table 100" sheetId="209" r:id="rId378"/>
    <sheet name="Eng Figure 114" sheetId="217" r:id="rId379"/>
    <sheet name="Eng Figure 114 report" sheetId="454" r:id="rId380"/>
    <sheet name="Eng Table 101" sheetId="210" r:id="rId381"/>
    <sheet name="Eng Figure 115" sheetId="221" r:id="rId382"/>
    <sheet name="Eng Figure 115 report" sheetId="455" r:id="rId383"/>
    <sheet name="Eng Figure 116" sheetId="268" r:id="rId384"/>
    <sheet name="Eng Figure 116 report" sheetId="447" r:id="rId385"/>
    <sheet name="Eng Table 102" sheetId="271" r:id="rId386"/>
    <sheet name="Eng Figure 117" sheetId="269" r:id="rId387"/>
    <sheet name="Eng Figure 117 report" sheetId="448" r:id="rId388"/>
    <sheet name="Eng Table 103" sheetId="272" r:id="rId389"/>
    <sheet name="Eng Figure 118" sheetId="270" r:id="rId390"/>
    <sheet name="Eng Figure 118 report" sheetId="449" r:id="rId391"/>
    <sheet name="Eng Table 104 " sheetId="273" r:id="rId392"/>
    <sheet name="Appendix" sheetId="492" r:id="rId393"/>
    <sheet name="Eng Table 105" sheetId="53" r:id="rId394"/>
    <sheet name="Sheet1" sheetId="353" r:id="rId395"/>
    <sheet name="ignore" sheetId="459" state="hidden" r:id="rId396"/>
    <sheet name="Table 12" sheetId="13" state="hidden" r:id="rId397"/>
    <sheet name="Table 33 (3)" sheetId="321" state="hidden" r:id="rId398"/>
    <sheet name="Chart1d (4)" sheetId="300" state="hidden" r:id="rId399"/>
    <sheet name="Chart1d (7) for report" sheetId="375" state="hidden" r:id="rId400"/>
    <sheet name="Table 12 country (4)" sheetId="301" state="hidden" r:id="rId401"/>
    <sheet name="Chart1a (5)" sheetId="303" state="hidden" r:id="rId402"/>
    <sheet name="Chart1a (10) for report" sheetId="377" state="hidden" r:id="rId403"/>
    <sheet name="Chart1b (5)" sheetId="304" state="hidden" r:id="rId404"/>
    <sheet name="Chart1b (10) for report" sheetId="378" state="hidden" r:id="rId405"/>
    <sheet name="Chart1c (5)" sheetId="305" state="hidden" r:id="rId406"/>
    <sheet name="Chart1c (10) for report" sheetId="379" state="hidden" r:id="rId407"/>
    <sheet name="Table 9 country (5)" sheetId="306" state="hidden" r:id="rId408"/>
    <sheet name="Chart1d (5)" sheetId="307" state="hidden" r:id="rId409"/>
    <sheet name="Chart1d (11)" sheetId="380" state="hidden" r:id="rId410"/>
    <sheet name="Table 12 country (5)" sheetId="308" state="hidden" r:id="rId411"/>
    <sheet name="Section 7 data country" sheetId="302" state="hidden" r:id="rId412"/>
    <sheet name="Tables" sheetId="482" state="hidden" r:id="rId413"/>
    <sheet name="Table 50" sheetId="102" state="hidden" r:id="rId414"/>
    <sheet name="Table 51" sheetId="103" state="hidden" r:id="rId415"/>
    <sheet name="Table 52" sheetId="104" state="hidden" r:id="rId416"/>
    <sheet name="Table 59" sheetId="130" state="hidden" r:id="rId417"/>
    <sheet name="Table 60" sheetId="131" state="hidden" r:id="rId418"/>
    <sheet name="Table 61" sheetId="132" state="hidden" r:id="rId419"/>
    <sheet name="Table 68" sheetId="153" state="hidden" r:id="rId420"/>
    <sheet name="Table 69" sheetId="154" state="hidden" r:id="rId421"/>
    <sheet name="Table 70" sheetId="155" state="hidden" r:id="rId422"/>
    <sheet name="Table 77" sheetId="222" state="hidden" r:id="rId423"/>
    <sheet name="Table 78" sheetId="223" state="hidden" r:id="rId424"/>
    <sheet name="Table 79" sheetId="224" state="hidden" r:id="rId425"/>
  </sheets>
  <definedNames>
    <definedName name="Table_2_area">'Eng Table 3'!$G$8:$G$21</definedName>
  </definedNames>
  <calcPr calcId="145621"/>
</workbook>
</file>

<file path=xl/calcChain.xml><?xml version="1.0" encoding="utf-8"?>
<calcChain xmlns="http://schemas.openxmlformats.org/spreadsheetml/2006/main">
  <c r="E13" i="29" l="1"/>
  <c r="D13" i="29"/>
  <c r="C13" i="29"/>
  <c r="E12" i="29"/>
  <c r="D12" i="29"/>
  <c r="C12" i="29"/>
  <c r="E11" i="29"/>
  <c r="D11" i="29"/>
  <c r="C11" i="29"/>
  <c r="E10" i="29"/>
  <c r="D10" i="29"/>
  <c r="C10" i="29"/>
  <c r="E9" i="29"/>
  <c r="D9" i="29"/>
  <c r="C9" i="29"/>
  <c r="E8" i="29"/>
  <c r="D8" i="29"/>
  <c r="C8" i="29"/>
  <c r="E13" i="28"/>
  <c r="D13" i="28"/>
  <c r="C13" i="28"/>
  <c r="E12" i="28"/>
  <c r="D12" i="28"/>
  <c r="C12" i="28"/>
  <c r="E11" i="28"/>
  <c r="D11" i="28"/>
  <c r="C11" i="28"/>
  <c r="E10" i="28"/>
  <c r="D10" i="28"/>
  <c r="C10" i="28"/>
  <c r="E9" i="28"/>
  <c r="D9" i="28"/>
  <c r="C9" i="28"/>
  <c r="E8" i="28"/>
  <c r="D8" i="28"/>
  <c r="C8" i="28"/>
  <c r="E13" i="30"/>
  <c r="D13" i="30"/>
  <c r="C13" i="30"/>
  <c r="E12" i="30"/>
  <c r="D12" i="30"/>
  <c r="C12" i="30"/>
  <c r="E11" i="30"/>
  <c r="D11" i="30"/>
  <c r="C11" i="30"/>
  <c r="E10" i="30"/>
  <c r="D10" i="30"/>
  <c r="C10" i="30"/>
  <c r="E9" i="30"/>
  <c r="D9" i="30"/>
  <c r="C9" i="30"/>
  <c r="E8" i="30"/>
  <c r="D8" i="30"/>
  <c r="C8" i="30"/>
  <c r="E18" i="34" l="1"/>
  <c r="D18" i="34"/>
  <c r="C18" i="34"/>
  <c r="E17" i="34"/>
  <c r="D17" i="34"/>
  <c r="C17" i="34"/>
  <c r="E16" i="34"/>
  <c r="D16" i="34"/>
  <c r="C16" i="34"/>
  <c r="E15" i="34"/>
  <c r="D15" i="34"/>
  <c r="C15" i="34"/>
  <c r="E14" i="34"/>
  <c r="D14" i="34"/>
  <c r="C14" i="34"/>
  <c r="E13" i="34"/>
  <c r="D13" i="34"/>
  <c r="C13" i="34"/>
  <c r="E12" i="34"/>
  <c r="D12" i="34"/>
  <c r="C12" i="34"/>
  <c r="E11" i="34"/>
  <c r="D11" i="34"/>
  <c r="C11" i="34"/>
  <c r="E10" i="34"/>
  <c r="D10" i="34"/>
  <c r="C10" i="34"/>
  <c r="E9" i="34"/>
  <c r="D9" i="34"/>
  <c r="C9" i="34"/>
  <c r="E8" i="34"/>
  <c r="D8" i="34"/>
  <c r="C8" i="34"/>
  <c r="B3" i="492" l="1"/>
  <c r="E177" i="1"/>
  <c r="C177" i="1"/>
  <c r="E174" i="1"/>
  <c r="E173" i="1"/>
  <c r="E172" i="1"/>
  <c r="C174" i="1"/>
  <c r="C173" i="1"/>
  <c r="C172" i="1"/>
  <c r="E162" i="1"/>
  <c r="C162" i="1"/>
  <c r="E161" i="1"/>
  <c r="C161" i="1"/>
  <c r="E160" i="1"/>
  <c r="C160" i="1"/>
  <c r="E150" i="1"/>
  <c r="E149" i="1"/>
  <c r="E148" i="1"/>
  <c r="C150" i="1"/>
  <c r="C149" i="1"/>
  <c r="C148" i="1"/>
  <c r="E138" i="1" l="1"/>
  <c r="C138" i="1"/>
  <c r="E137" i="1"/>
  <c r="C137" i="1"/>
  <c r="E136" i="1"/>
  <c r="C136" i="1"/>
  <c r="E126" i="1" l="1"/>
  <c r="C126" i="1"/>
  <c r="E115" i="1"/>
  <c r="C115" i="1"/>
  <c r="E111" i="1"/>
  <c r="C111" i="1"/>
  <c r="E102" i="1" l="1"/>
  <c r="C102" i="1"/>
  <c r="E98" i="1"/>
  <c r="C98" i="1"/>
  <c r="B5" i="26"/>
  <c r="C88" i="1" l="1"/>
  <c r="E84" i="1"/>
  <c r="C84" i="1"/>
  <c r="E83" i="1"/>
  <c r="C83" i="1"/>
  <c r="E82" i="1"/>
  <c r="C82" i="1"/>
  <c r="E81" i="1"/>
  <c r="C81" i="1"/>
  <c r="E80" i="1"/>
  <c r="C80" i="1"/>
  <c r="E79" i="1"/>
  <c r="C79" i="1"/>
  <c r="E22" i="488"/>
  <c r="D22" i="488"/>
  <c r="C22" i="488"/>
  <c r="E21" i="488"/>
  <c r="D21" i="488"/>
  <c r="C21" i="488"/>
  <c r="F21" i="488" s="1"/>
  <c r="E20" i="488"/>
  <c r="D20" i="488"/>
  <c r="C20" i="488"/>
  <c r="E19" i="488"/>
  <c r="D19" i="488"/>
  <c r="C19" i="488"/>
  <c r="F19" i="488" s="1"/>
  <c r="E18" i="488"/>
  <c r="D18" i="488"/>
  <c r="C18" i="488"/>
  <c r="E17" i="488"/>
  <c r="D17" i="488"/>
  <c r="C17" i="488"/>
  <c r="F17" i="488" s="1"/>
  <c r="E16" i="488"/>
  <c r="D16" i="488"/>
  <c r="C16" i="488"/>
  <c r="E15" i="488"/>
  <c r="D15" i="488"/>
  <c r="C15" i="488"/>
  <c r="F15" i="488" s="1"/>
  <c r="E14" i="488"/>
  <c r="D14" i="488"/>
  <c r="C14" i="488"/>
  <c r="E13" i="488"/>
  <c r="D13" i="488"/>
  <c r="C13" i="488"/>
  <c r="F13" i="488" s="1"/>
  <c r="E12" i="488"/>
  <c r="D12" i="488"/>
  <c r="C12" i="488"/>
  <c r="E11" i="488"/>
  <c r="D11" i="488"/>
  <c r="C11" i="488"/>
  <c r="F11" i="488" s="1"/>
  <c r="E10" i="488"/>
  <c r="D10" i="488"/>
  <c r="C10" i="488"/>
  <c r="E9" i="488"/>
  <c r="D9" i="488"/>
  <c r="C9" i="488"/>
  <c r="F9" i="488" s="1"/>
  <c r="E8" i="488"/>
  <c r="D8" i="488"/>
  <c r="C8" i="488"/>
  <c r="B8" i="488"/>
  <c r="E22" i="487"/>
  <c r="D22" i="487"/>
  <c r="C22" i="487"/>
  <c r="E21" i="487"/>
  <c r="D21" i="487"/>
  <c r="C21" i="487"/>
  <c r="E20" i="487"/>
  <c r="D20" i="487"/>
  <c r="C20" i="487"/>
  <c r="E19" i="487"/>
  <c r="D19" i="487"/>
  <c r="F19" i="487" s="1"/>
  <c r="C19" i="487"/>
  <c r="E18" i="487"/>
  <c r="D18" i="487"/>
  <c r="C18" i="487"/>
  <c r="E17" i="487"/>
  <c r="D17" i="487"/>
  <c r="C17" i="487"/>
  <c r="E16" i="487"/>
  <c r="D16" i="487"/>
  <c r="C16" i="487"/>
  <c r="E15" i="487"/>
  <c r="D15" i="487"/>
  <c r="F15" i="487" s="1"/>
  <c r="C15" i="487"/>
  <c r="E14" i="487"/>
  <c r="D14" i="487"/>
  <c r="C14" i="487"/>
  <c r="E13" i="487"/>
  <c r="D13" i="487"/>
  <c r="C13" i="487"/>
  <c r="E12" i="487"/>
  <c r="D12" i="487"/>
  <c r="C12" i="487"/>
  <c r="E11" i="487"/>
  <c r="D11" i="487"/>
  <c r="F11" i="487" s="1"/>
  <c r="C11" i="487"/>
  <c r="E10" i="487"/>
  <c r="D10" i="487"/>
  <c r="C10" i="487"/>
  <c r="E9" i="487"/>
  <c r="D9" i="487"/>
  <c r="C9" i="487"/>
  <c r="E8" i="487"/>
  <c r="D8" i="487"/>
  <c r="C8" i="487"/>
  <c r="B8" i="487"/>
  <c r="F22" i="486"/>
  <c r="E22" i="486"/>
  <c r="D22" i="486"/>
  <c r="C22" i="486"/>
  <c r="F21" i="486"/>
  <c r="E21" i="486"/>
  <c r="D21" i="486"/>
  <c r="C21" i="486"/>
  <c r="F20" i="486"/>
  <c r="E20" i="486"/>
  <c r="D20" i="486"/>
  <c r="C20" i="486"/>
  <c r="F19" i="486"/>
  <c r="E19" i="486"/>
  <c r="D19" i="486"/>
  <c r="C19" i="486"/>
  <c r="F18" i="486"/>
  <c r="E18" i="486"/>
  <c r="D18" i="486"/>
  <c r="C18" i="486"/>
  <c r="F17" i="486"/>
  <c r="E17" i="486"/>
  <c r="D17" i="486"/>
  <c r="C17" i="486"/>
  <c r="F16" i="486"/>
  <c r="E16" i="486"/>
  <c r="D16" i="486"/>
  <c r="C16" i="486"/>
  <c r="F15" i="486"/>
  <c r="E15" i="486"/>
  <c r="D15" i="486"/>
  <c r="C15" i="486"/>
  <c r="F14" i="486"/>
  <c r="E14" i="486"/>
  <c r="D14" i="486"/>
  <c r="C14" i="486"/>
  <c r="F13" i="486"/>
  <c r="E13" i="486"/>
  <c r="D13" i="486"/>
  <c r="C13" i="486"/>
  <c r="F12" i="486"/>
  <c r="E12" i="486"/>
  <c r="D12" i="486"/>
  <c r="C12" i="486"/>
  <c r="F11" i="486"/>
  <c r="E11" i="486"/>
  <c r="D11" i="486"/>
  <c r="C11" i="486"/>
  <c r="F10" i="486"/>
  <c r="E10" i="486"/>
  <c r="D10" i="486"/>
  <c r="C10" i="486"/>
  <c r="F9" i="486"/>
  <c r="E9" i="486"/>
  <c r="D9" i="486"/>
  <c r="C9" i="486"/>
  <c r="F8" i="486"/>
  <c r="E8" i="486"/>
  <c r="D8" i="486"/>
  <c r="C8" i="486"/>
  <c r="B8" i="486"/>
  <c r="E22" i="485"/>
  <c r="D22" i="485"/>
  <c r="C22" i="485"/>
  <c r="F22" i="485" s="1"/>
  <c r="E21" i="485"/>
  <c r="D21" i="485"/>
  <c r="C21" i="485"/>
  <c r="E20" i="485"/>
  <c r="D20" i="485"/>
  <c r="C20" i="485"/>
  <c r="F20" i="485" s="1"/>
  <c r="E19" i="485"/>
  <c r="D19" i="485"/>
  <c r="C19" i="485"/>
  <c r="E18" i="485"/>
  <c r="D18" i="485"/>
  <c r="C18" i="485"/>
  <c r="F18" i="485" s="1"/>
  <c r="E17" i="485"/>
  <c r="D17" i="485"/>
  <c r="C17" i="485"/>
  <c r="E16" i="485"/>
  <c r="D16" i="485"/>
  <c r="C16" i="485"/>
  <c r="F16" i="485" s="1"/>
  <c r="E15" i="485"/>
  <c r="D15" i="485"/>
  <c r="C15" i="485"/>
  <c r="E14" i="485"/>
  <c r="D14" i="485"/>
  <c r="C14" i="485"/>
  <c r="F14" i="485" s="1"/>
  <c r="E13" i="485"/>
  <c r="D13" i="485"/>
  <c r="C13" i="485"/>
  <c r="E12" i="485"/>
  <c r="D12" i="485"/>
  <c r="C12" i="485"/>
  <c r="F12" i="485" s="1"/>
  <c r="E11" i="485"/>
  <c r="D11" i="485"/>
  <c r="C11" i="485"/>
  <c r="E10" i="485"/>
  <c r="D10" i="485"/>
  <c r="C10" i="485"/>
  <c r="F10" i="485" s="1"/>
  <c r="E9" i="485"/>
  <c r="D9" i="485"/>
  <c r="C9" i="485"/>
  <c r="E8" i="485"/>
  <c r="D8" i="485"/>
  <c r="C8" i="485"/>
  <c r="F8" i="485" s="1"/>
  <c r="B8" i="485"/>
  <c r="C22" i="352"/>
  <c r="C21" i="352"/>
  <c r="C20" i="352"/>
  <c r="C19" i="352"/>
  <c r="C18" i="352"/>
  <c r="C17" i="352"/>
  <c r="C16" i="352"/>
  <c r="C15" i="352"/>
  <c r="C14" i="352"/>
  <c r="C13" i="352"/>
  <c r="C12" i="352"/>
  <c r="C11" i="352"/>
  <c r="C10" i="352"/>
  <c r="C9" i="352"/>
  <c r="C8" i="352"/>
  <c r="D22" i="352"/>
  <c r="D21" i="352"/>
  <c r="D20" i="352"/>
  <c r="D19" i="352"/>
  <c r="D18" i="352"/>
  <c r="D17" i="352"/>
  <c r="D16" i="352"/>
  <c r="D15" i="352"/>
  <c r="D14" i="352"/>
  <c r="D13" i="352"/>
  <c r="D12" i="352"/>
  <c r="D11" i="352"/>
  <c r="D10" i="352"/>
  <c r="D9" i="352"/>
  <c r="D8" i="352"/>
  <c r="E22" i="352"/>
  <c r="E21" i="352"/>
  <c r="E20" i="352"/>
  <c r="E19" i="352"/>
  <c r="E18" i="352"/>
  <c r="E17" i="352"/>
  <c r="E16" i="352"/>
  <c r="E15" i="352"/>
  <c r="E14" i="352"/>
  <c r="E13" i="352"/>
  <c r="E12" i="352"/>
  <c r="E11" i="352"/>
  <c r="E10" i="352"/>
  <c r="E9" i="352"/>
  <c r="E8" i="352"/>
  <c r="E22" i="351"/>
  <c r="E21" i="351"/>
  <c r="E20" i="351"/>
  <c r="E19" i="351"/>
  <c r="E18" i="351"/>
  <c r="E17" i="351"/>
  <c r="E16" i="351"/>
  <c r="E15" i="351"/>
  <c r="E14" i="351"/>
  <c r="E13" i="351"/>
  <c r="E12" i="351"/>
  <c r="E11" i="351"/>
  <c r="E10" i="351"/>
  <c r="E9" i="351"/>
  <c r="E8" i="351"/>
  <c r="D22" i="351"/>
  <c r="D21" i="351"/>
  <c r="D20" i="351"/>
  <c r="D19" i="351"/>
  <c r="D18" i="351"/>
  <c r="D17" i="351"/>
  <c r="D16" i="351"/>
  <c r="D15" i="351"/>
  <c r="D14" i="351"/>
  <c r="D13" i="351"/>
  <c r="D12" i="351"/>
  <c r="D11" i="351"/>
  <c r="D10" i="351"/>
  <c r="D9" i="351"/>
  <c r="D8" i="351"/>
  <c r="C22" i="351"/>
  <c r="C21" i="351"/>
  <c r="C20" i="351"/>
  <c r="C19" i="351"/>
  <c r="C18" i="351"/>
  <c r="C17" i="351"/>
  <c r="C16" i="351"/>
  <c r="C15" i="351"/>
  <c r="C14" i="351"/>
  <c r="C13" i="351"/>
  <c r="C12" i="351"/>
  <c r="C11" i="351"/>
  <c r="C10" i="351"/>
  <c r="C9" i="351"/>
  <c r="C8" i="351"/>
  <c r="F8" i="488" l="1"/>
  <c r="F12" i="488"/>
  <c r="F16" i="488"/>
  <c r="F20" i="488"/>
  <c r="F10" i="488"/>
  <c r="F14" i="488"/>
  <c r="F18" i="488"/>
  <c r="F22" i="488"/>
  <c r="F10" i="487"/>
  <c r="F14" i="487"/>
  <c r="F18" i="487"/>
  <c r="F22" i="487"/>
  <c r="F9" i="487"/>
  <c r="F13" i="487"/>
  <c r="F17" i="487"/>
  <c r="F21" i="487"/>
  <c r="F8" i="487"/>
  <c r="F12" i="487"/>
  <c r="F16" i="487"/>
  <c r="F20" i="487"/>
  <c r="F11" i="485"/>
  <c r="F9" i="485"/>
  <c r="F13" i="485"/>
  <c r="F17" i="485"/>
  <c r="F21" i="485"/>
  <c r="F15" i="485"/>
  <c r="F19" i="485"/>
  <c r="F120" i="482"/>
  <c r="F119" i="482"/>
  <c r="F118" i="482"/>
  <c r="F117" i="482"/>
  <c r="F116" i="482"/>
  <c r="F115" i="482"/>
  <c r="F114" i="482"/>
  <c r="F113" i="482"/>
  <c r="F112" i="482"/>
  <c r="F111" i="482"/>
  <c r="F110" i="482"/>
  <c r="F109" i="482"/>
  <c r="F108" i="482"/>
  <c r="F107" i="482"/>
  <c r="F106" i="482"/>
  <c r="F100" i="482"/>
  <c r="F99" i="482"/>
  <c r="F98" i="482"/>
  <c r="F97" i="482"/>
  <c r="F96" i="482"/>
  <c r="F95" i="482"/>
  <c r="F94" i="482"/>
  <c r="F93" i="482"/>
  <c r="F92" i="482"/>
  <c r="F91" i="482"/>
  <c r="F90" i="482"/>
  <c r="F89" i="482"/>
  <c r="F88" i="482"/>
  <c r="F87" i="482"/>
  <c r="F86" i="482"/>
  <c r="F80" i="482"/>
  <c r="F79" i="482"/>
  <c r="F78" i="482"/>
  <c r="F77" i="482"/>
  <c r="F76" i="482"/>
  <c r="F75" i="482"/>
  <c r="F74" i="482"/>
  <c r="F73" i="482"/>
  <c r="F72" i="482"/>
  <c r="F71" i="482"/>
  <c r="F70" i="482"/>
  <c r="F69" i="482"/>
  <c r="F68" i="482"/>
  <c r="F67" i="482"/>
  <c r="F66" i="482"/>
  <c r="F60" i="482"/>
  <c r="F59" i="482"/>
  <c r="F58" i="482"/>
  <c r="F57" i="482"/>
  <c r="F56" i="482"/>
  <c r="F55" i="482"/>
  <c r="F54" i="482"/>
  <c r="F53" i="482"/>
  <c r="F52" i="482"/>
  <c r="F51" i="482"/>
  <c r="F50" i="482"/>
  <c r="F49" i="482"/>
  <c r="F48" i="482"/>
  <c r="F47" i="482"/>
  <c r="F46" i="482"/>
  <c r="F40" i="482"/>
  <c r="F39" i="482"/>
  <c r="F38" i="482"/>
  <c r="F37" i="482"/>
  <c r="F36" i="482"/>
  <c r="F35" i="482"/>
  <c r="F34" i="482"/>
  <c r="F33" i="482"/>
  <c r="F32" i="482"/>
  <c r="F31" i="482"/>
  <c r="F30" i="482"/>
  <c r="F29" i="482"/>
  <c r="F28" i="482"/>
  <c r="F27" i="482"/>
  <c r="F26" i="482"/>
  <c r="F20" i="482"/>
  <c r="F19" i="482"/>
  <c r="F18" i="482"/>
  <c r="F17" i="482"/>
  <c r="F16" i="482"/>
  <c r="F15" i="482"/>
  <c r="F14" i="482"/>
  <c r="F13" i="482"/>
  <c r="F12" i="482"/>
  <c r="F11" i="482"/>
  <c r="F10" i="482"/>
  <c r="F9" i="482"/>
  <c r="F8" i="482"/>
  <c r="F7" i="482"/>
  <c r="F6" i="482"/>
  <c r="P120" i="479"/>
  <c r="F120" i="479"/>
  <c r="P119" i="479"/>
  <c r="F119" i="479"/>
  <c r="P118" i="479"/>
  <c r="F118" i="479"/>
  <c r="P117" i="479"/>
  <c r="F117" i="479"/>
  <c r="P116" i="479"/>
  <c r="F116" i="479"/>
  <c r="P115" i="479"/>
  <c r="F115" i="479"/>
  <c r="P114" i="479"/>
  <c r="F114" i="479"/>
  <c r="P113" i="479"/>
  <c r="F113" i="479"/>
  <c r="P112" i="479"/>
  <c r="F112" i="479"/>
  <c r="P111" i="479"/>
  <c r="F111" i="479"/>
  <c r="P110" i="479"/>
  <c r="F110" i="479"/>
  <c r="P109" i="479"/>
  <c r="F109" i="479"/>
  <c r="P108" i="479"/>
  <c r="F108" i="479"/>
  <c r="P107" i="479"/>
  <c r="F107" i="479"/>
  <c r="P106" i="479"/>
  <c r="F106" i="479"/>
  <c r="P100" i="479"/>
  <c r="F100" i="479"/>
  <c r="P99" i="479"/>
  <c r="F99" i="479"/>
  <c r="P98" i="479"/>
  <c r="F98" i="479"/>
  <c r="P97" i="479"/>
  <c r="F97" i="479"/>
  <c r="P96" i="479"/>
  <c r="F96" i="479"/>
  <c r="P95" i="479"/>
  <c r="F95" i="479"/>
  <c r="P94" i="479"/>
  <c r="F94" i="479"/>
  <c r="P93" i="479"/>
  <c r="F93" i="479"/>
  <c r="P92" i="479"/>
  <c r="F92" i="479"/>
  <c r="P91" i="479"/>
  <c r="F91" i="479"/>
  <c r="P90" i="479"/>
  <c r="F90" i="479"/>
  <c r="P89" i="479"/>
  <c r="F89" i="479"/>
  <c r="P88" i="479"/>
  <c r="F88" i="479"/>
  <c r="P87" i="479"/>
  <c r="F87" i="479"/>
  <c r="P86" i="479"/>
  <c r="F86" i="479"/>
  <c r="P80" i="479"/>
  <c r="F80" i="479"/>
  <c r="P79" i="479"/>
  <c r="F79" i="479"/>
  <c r="P78" i="479"/>
  <c r="F78" i="479"/>
  <c r="P77" i="479"/>
  <c r="F77" i="479"/>
  <c r="P76" i="479"/>
  <c r="F76" i="479"/>
  <c r="P75" i="479"/>
  <c r="F75" i="479"/>
  <c r="P74" i="479"/>
  <c r="F74" i="479"/>
  <c r="P73" i="479"/>
  <c r="F73" i="479"/>
  <c r="P72" i="479"/>
  <c r="F72" i="479"/>
  <c r="P71" i="479"/>
  <c r="F71" i="479"/>
  <c r="P70" i="479"/>
  <c r="F70" i="479"/>
  <c r="P69" i="479"/>
  <c r="F69" i="479"/>
  <c r="P68" i="479"/>
  <c r="F68" i="479"/>
  <c r="P67" i="479"/>
  <c r="F67" i="479"/>
  <c r="P66" i="479"/>
  <c r="F66" i="479"/>
  <c r="P60" i="479"/>
  <c r="F60" i="479"/>
  <c r="P59" i="479"/>
  <c r="F59" i="479"/>
  <c r="P58" i="479"/>
  <c r="F58" i="479"/>
  <c r="P57" i="479"/>
  <c r="F57" i="479"/>
  <c r="P56" i="479"/>
  <c r="F56" i="479"/>
  <c r="P55" i="479"/>
  <c r="F55" i="479"/>
  <c r="P54" i="479"/>
  <c r="F54" i="479"/>
  <c r="P53" i="479"/>
  <c r="F53" i="479"/>
  <c r="P52" i="479"/>
  <c r="F52" i="479"/>
  <c r="P51" i="479"/>
  <c r="F51" i="479"/>
  <c r="P50" i="479"/>
  <c r="F50" i="479"/>
  <c r="P49" i="479"/>
  <c r="F49" i="479"/>
  <c r="P48" i="479"/>
  <c r="F48" i="479"/>
  <c r="P47" i="479"/>
  <c r="F47" i="479"/>
  <c r="P46" i="479"/>
  <c r="F46" i="479"/>
  <c r="P40" i="479"/>
  <c r="F40" i="479"/>
  <c r="P39" i="479"/>
  <c r="F39" i="479"/>
  <c r="P38" i="479"/>
  <c r="F38" i="479"/>
  <c r="P37" i="479"/>
  <c r="F37" i="479"/>
  <c r="P36" i="479"/>
  <c r="F36" i="479"/>
  <c r="P35" i="479"/>
  <c r="F35" i="479"/>
  <c r="P34" i="479"/>
  <c r="F34" i="479"/>
  <c r="P33" i="479"/>
  <c r="F33" i="479"/>
  <c r="P32" i="479"/>
  <c r="F32" i="479"/>
  <c r="P31" i="479"/>
  <c r="F31" i="479"/>
  <c r="P30" i="479"/>
  <c r="F30" i="479"/>
  <c r="P29" i="479"/>
  <c r="F29" i="479"/>
  <c r="P28" i="479"/>
  <c r="F28" i="479"/>
  <c r="P27" i="479"/>
  <c r="F27" i="479"/>
  <c r="P26" i="479"/>
  <c r="F26" i="479"/>
  <c r="P20" i="479"/>
  <c r="F20" i="479"/>
  <c r="P19" i="479"/>
  <c r="F19" i="479"/>
  <c r="P18" i="479"/>
  <c r="F18" i="479"/>
  <c r="P17" i="479"/>
  <c r="F17" i="479"/>
  <c r="P16" i="479"/>
  <c r="F16" i="479"/>
  <c r="P15" i="479"/>
  <c r="F15" i="479"/>
  <c r="P14" i="479"/>
  <c r="F14" i="479"/>
  <c r="P13" i="479"/>
  <c r="F13" i="479"/>
  <c r="P12" i="479"/>
  <c r="F12" i="479"/>
  <c r="P11" i="479"/>
  <c r="F11" i="479"/>
  <c r="P10" i="479"/>
  <c r="F10" i="479"/>
  <c r="P9" i="479"/>
  <c r="F9" i="479"/>
  <c r="P8" i="479"/>
  <c r="F8" i="479"/>
  <c r="P7" i="479"/>
  <c r="F7" i="479"/>
  <c r="P6" i="479"/>
  <c r="F6" i="479"/>
  <c r="E59" i="1" l="1"/>
  <c r="C59" i="1"/>
  <c r="E58" i="1"/>
  <c r="C58" i="1"/>
  <c r="E57" i="1"/>
  <c r="C57" i="1"/>
  <c r="E22" i="478"/>
  <c r="D22" i="478"/>
  <c r="C22" i="478"/>
  <c r="F22" i="478" s="1"/>
  <c r="E21" i="478"/>
  <c r="D21" i="478"/>
  <c r="C21" i="478"/>
  <c r="F21" i="478" s="1"/>
  <c r="E20" i="478"/>
  <c r="D20" i="478"/>
  <c r="C20" i="478"/>
  <c r="E19" i="478"/>
  <c r="D19" i="478"/>
  <c r="C19" i="478"/>
  <c r="F19" i="478" s="1"/>
  <c r="E18" i="478"/>
  <c r="D18" i="478"/>
  <c r="C18" i="478"/>
  <c r="F18" i="478" s="1"/>
  <c r="E17" i="478"/>
  <c r="D17" i="478"/>
  <c r="C17" i="478"/>
  <c r="F17" i="478" s="1"/>
  <c r="E16" i="478"/>
  <c r="D16" i="478"/>
  <c r="C16" i="478"/>
  <c r="E15" i="478"/>
  <c r="D15" i="478"/>
  <c r="C15" i="478"/>
  <c r="F15" i="478" s="1"/>
  <c r="E14" i="478"/>
  <c r="D14" i="478"/>
  <c r="C14" i="478"/>
  <c r="F14" i="478" s="1"/>
  <c r="E13" i="478"/>
  <c r="D13" i="478"/>
  <c r="C13" i="478"/>
  <c r="F13" i="478" s="1"/>
  <c r="E12" i="478"/>
  <c r="D12" i="478"/>
  <c r="C12" i="478"/>
  <c r="E11" i="478"/>
  <c r="D11" i="478"/>
  <c r="C11" i="478"/>
  <c r="F11" i="478" s="1"/>
  <c r="E10" i="478"/>
  <c r="D10" i="478"/>
  <c r="C10" i="478"/>
  <c r="F10" i="478" s="1"/>
  <c r="E9" i="478"/>
  <c r="D9" i="478"/>
  <c r="C9" i="478"/>
  <c r="F9" i="478" s="1"/>
  <c r="E8" i="478"/>
  <c r="D8" i="478"/>
  <c r="C8" i="478"/>
  <c r="B8" i="478"/>
  <c r="E22" i="477"/>
  <c r="D22" i="477"/>
  <c r="C22" i="477"/>
  <c r="F22" i="477" s="1"/>
  <c r="F21" i="477"/>
  <c r="E21" i="477"/>
  <c r="D21" i="477"/>
  <c r="C21" i="477"/>
  <c r="F20" i="477"/>
  <c r="E20" i="477"/>
  <c r="D20" i="477"/>
  <c r="C20" i="477"/>
  <c r="F19" i="477"/>
  <c r="E19" i="477"/>
  <c r="D19" i="477"/>
  <c r="C19" i="477"/>
  <c r="F18" i="477"/>
  <c r="E18" i="477"/>
  <c r="D18" i="477"/>
  <c r="C18" i="477"/>
  <c r="F17" i="477"/>
  <c r="E17" i="477"/>
  <c r="D17" i="477"/>
  <c r="C17" i="477"/>
  <c r="F16" i="477"/>
  <c r="E16" i="477"/>
  <c r="D16" i="477"/>
  <c r="C16" i="477"/>
  <c r="F15" i="477"/>
  <c r="E15" i="477"/>
  <c r="D15" i="477"/>
  <c r="C15" i="477"/>
  <c r="F14" i="477"/>
  <c r="E14" i="477"/>
  <c r="D14" i="477"/>
  <c r="C14" i="477"/>
  <c r="F13" i="477"/>
  <c r="E13" i="477"/>
  <c r="D13" i="477"/>
  <c r="C13" i="477"/>
  <c r="F12" i="477"/>
  <c r="E12" i="477"/>
  <c r="D12" i="477"/>
  <c r="C12" i="477"/>
  <c r="F11" i="477"/>
  <c r="E11" i="477"/>
  <c r="D11" i="477"/>
  <c r="C11" i="477"/>
  <c r="F10" i="477"/>
  <c r="E10" i="477"/>
  <c r="D10" i="477"/>
  <c r="C10" i="477"/>
  <c r="F9" i="477"/>
  <c r="E9" i="477"/>
  <c r="D9" i="477"/>
  <c r="C9" i="477"/>
  <c r="F8" i="477"/>
  <c r="E8" i="477"/>
  <c r="D8" i="477"/>
  <c r="C8" i="477"/>
  <c r="B8" i="477"/>
  <c r="E53" i="1"/>
  <c r="C53" i="1"/>
  <c r="E52" i="1"/>
  <c r="C52" i="1"/>
  <c r="E51" i="1"/>
  <c r="C51" i="1"/>
  <c r="E22" i="476"/>
  <c r="D22" i="476"/>
  <c r="C22" i="476"/>
  <c r="F22" i="476" s="1"/>
  <c r="E21" i="476"/>
  <c r="D21" i="476"/>
  <c r="C21" i="476"/>
  <c r="E20" i="476"/>
  <c r="D20" i="476"/>
  <c r="C20" i="476"/>
  <c r="F20" i="476" s="1"/>
  <c r="E19" i="476"/>
  <c r="D19" i="476"/>
  <c r="C19" i="476"/>
  <c r="F19" i="476" s="1"/>
  <c r="E18" i="476"/>
  <c r="D18" i="476"/>
  <c r="C18" i="476"/>
  <c r="F18" i="476" s="1"/>
  <c r="E17" i="476"/>
  <c r="D17" i="476"/>
  <c r="C17" i="476"/>
  <c r="E16" i="476"/>
  <c r="D16" i="476"/>
  <c r="C16" i="476"/>
  <c r="F16" i="476" s="1"/>
  <c r="E15" i="476"/>
  <c r="D15" i="476"/>
  <c r="C15" i="476"/>
  <c r="F15" i="476" s="1"/>
  <c r="E14" i="476"/>
  <c r="D14" i="476"/>
  <c r="C14" i="476"/>
  <c r="F14" i="476" s="1"/>
  <c r="E13" i="476"/>
  <c r="D13" i="476"/>
  <c r="C13" i="476"/>
  <c r="E12" i="476"/>
  <c r="D12" i="476"/>
  <c r="C12" i="476"/>
  <c r="F12" i="476" s="1"/>
  <c r="E11" i="476"/>
  <c r="D11" i="476"/>
  <c r="C11" i="476"/>
  <c r="F11" i="476" s="1"/>
  <c r="E10" i="476"/>
  <c r="D10" i="476"/>
  <c r="C10" i="476"/>
  <c r="F10" i="476" s="1"/>
  <c r="E9" i="476"/>
  <c r="D9" i="476"/>
  <c r="C9" i="476"/>
  <c r="E8" i="476"/>
  <c r="D8" i="476"/>
  <c r="C8" i="476"/>
  <c r="F8" i="476" s="1"/>
  <c r="B8" i="476"/>
  <c r="E22" i="475"/>
  <c r="D22" i="475"/>
  <c r="C22" i="475"/>
  <c r="E21" i="475"/>
  <c r="D21" i="475"/>
  <c r="C21" i="475"/>
  <c r="E20" i="475"/>
  <c r="D20" i="475"/>
  <c r="C20" i="475"/>
  <c r="E19" i="475"/>
  <c r="D19" i="475"/>
  <c r="C19" i="475"/>
  <c r="E18" i="475"/>
  <c r="D18" i="475"/>
  <c r="C18" i="475"/>
  <c r="E17" i="475"/>
  <c r="D17" i="475"/>
  <c r="C17" i="475"/>
  <c r="E16" i="475"/>
  <c r="D16" i="475"/>
  <c r="C16" i="475"/>
  <c r="E15" i="475"/>
  <c r="D15" i="475"/>
  <c r="C15" i="475"/>
  <c r="E14" i="475"/>
  <c r="D14" i="475"/>
  <c r="C14" i="475"/>
  <c r="E13" i="475"/>
  <c r="D13" i="475"/>
  <c r="C13" i="475"/>
  <c r="E12" i="475"/>
  <c r="D12" i="475"/>
  <c r="C12" i="475"/>
  <c r="E11" i="475"/>
  <c r="D11" i="475"/>
  <c r="C11" i="475"/>
  <c r="F11" i="475" s="1"/>
  <c r="E10" i="475"/>
  <c r="D10" i="475"/>
  <c r="C10" i="475"/>
  <c r="E9" i="475"/>
  <c r="D9" i="475"/>
  <c r="C9" i="475"/>
  <c r="E8" i="475"/>
  <c r="D8" i="475"/>
  <c r="C8" i="475"/>
  <c r="B8" i="475"/>
  <c r="E45" i="1"/>
  <c r="C45" i="1"/>
  <c r="E44" i="1"/>
  <c r="C44" i="1"/>
  <c r="E43" i="1"/>
  <c r="C43" i="1"/>
  <c r="E22" i="474"/>
  <c r="D22" i="474"/>
  <c r="F22" i="474" s="1"/>
  <c r="C22" i="474"/>
  <c r="E21" i="474"/>
  <c r="D21" i="474"/>
  <c r="C21" i="474"/>
  <c r="E20" i="474"/>
  <c r="D20" i="474"/>
  <c r="C20" i="474"/>
  <c r="E19" i="474"/>
  <c r="D19" i="474"/>
  <c r="C19" i="474"/>
  <c r="E18" i="474"/>
  <c r="D18" i="474"/>
  <c r="F18" i="474" s="1"/>
  <c r="C18" i="474"/>
  <c r="E17" i="474"/>
  <c r="D17" i="474"/>
  <c r="C17" i="474"/>
  <c r="E16" i="474"/>
  <c r="D16" i="474"/>
  <c r="C16" i="474"/>
  <c r="E15" i="474"/>
  <c r="D15" i="474"/>
  <c r="C15" i="474"/>
  <c r="E14" i="474"/>
  <c r="D14" i="474"/>
  <c r="F14" i="474" s="1"/>
  <c r="C14" i="474"/>
  <c r="E13" i="474"/>
  <c r="D13" i="474"/>
  <c r="C13" i="474"/>
  <c r="E12" i="474"/>
  <c r="D12" i="474"/>
  <c r="C12" i="474"/>
  <c r="E11" i="474"/>
  <c r="D11" i="474"/>
  <c r="C11" i="474"/>
  <c r="E10" i="474"/>
  <c r="D10" i="474"/>
  <c r="F10" i="474" s="1"/>
  <c r="C10" i="474"/>
  <c r="E9" i="474"/>
  <c r="D9" i="474"/>
  <c r="C9" i="474"/>
  <c r="E8" i="474"/>
  <c r="D8" i="474"/>
  <c r="C8" i="474"/>
  <c r="B8" i="474"/>
  <c r="E22" i="473"/>
  <c r="D22" i="473"/>
  <c r="C22" i="473"/>
  <c r="F22" i="473" s="1"/>
  <c r="E21" i="473"/>
  <c r="D21" i="473"/>
  <c r="C21" i="473"/>
  <c r="E20" i="473"/>
  <c r="D20" i="473"/>
  <c r="C20" i="473"/>
  <c r="F20" i="473" s="1"/>
  <c r="E19" i="473"/>
  <c r="D19" i="473"/>
  <c r="C19" i="473"/>
  <c r="F19" i="473" s="1"/>
  <c r="E18" i="473"/>
  <c r="D18" i="473"/>
  <c r="C18" i="473"/>
  <c r="F18" i="473" s="1"/>
  <c r="E17" i="473"/>
  <c r="D17" i="473"/>
  <c r="C17" i="473"/>
  <c r="E16" i="473"/>
  <c r="D16" i="473"/>
  <c r="C16" i="473"/>
  <c r="F16" i="473" s="1"/>
  <c r="E15" i="473"/>
  <c r="D15" i="473"/>
  <c r="C15" i="473"/>
  <c r="F15" i="473" s="1"/>
  <c r="E14" i="473"/>
  <c r="D14" i="473"/>
  <c r="C14" i="473"/>
  <c r="F14" i="473" s="1"/>
  <c r="E13" i="473"/>
  <c r="D13" i="473"/>
  <c r="C13" i="473"/>
  <c r="E12" i="473"/>
  <c r="D12" i="473"/>
  <c r="C12" i="473"/>
  <c r="F12" i="473" s="1"/>
  <c r="E11" i="473"/>
  <c r="D11" i="473"/>
  <c r="C11" i="473"/>
  <c r="F11" i="473" s="1"/>
  <c r="E10" i="473"/>
  <c r="D10" i="473"/>
  <c r="C10" i="473"/>
  <c r="F10" i="473" s="1"/>
  <c r="E9" i="473"/>
  <c r="D9" i="473"/>
  <c r="C9" i="473"/>
  <c r="E8" i="473"/>
  <c r="D8" i="473"/>
  <c r="C8" i="473"/>
  <c r="F8" i="473" s="1"/>
  <c r="B8" i="473"/>
  <c r="E37" i="1"/>
  <c r="C37" i="1"/>
  <c r="C38" i="1"/>
  <c r="E36" i="1"/>
  <c r="C36" i="1"/>
  <c r="E35" i="1"/>
  <c r="C35" i="1"/>
  <c r="E22" i="472"/>
  <c r="D22" i="472"/>
  <c r="C22" i="472"/>
  <c r="F22" i="472" s="1"/>
  <c r="E21" i="472"/>
  <c r="D21" i="472"/>
  <c r="C21" i="472"/>
  <c r="F21" i="472" s="1"/>
  <c r="E20" i="472"/>
  <c r="D20" i="472"/>
  <c r="C20" i="472"/>
  <c r="F20" i="472" s="1"/>
  <c r="E19" i="472"/>
  <c r="D19" i="472"/>
  <c r="C19" i="472"/>
  <c r="E18" i="472"/>
  <c r="D18" i="472"/>
  <c r="C18" i="472"/>
  <c r="F18" i="472" s="1"/>
  <c r="E17" i="472"/>
  <c r="D17" i="472"/>
  <c r="C17" i="472"/>
  <c r="F17" i="472" s="1"/>
  <c r="E16" i="472"/>
  <c r="D16" i="472"/>
  <c r="C16" i="472"/>
  <c r="F16" i="472" s="1"/>
  <c r="E15" i="472"/>
  <c r="D15" i="472"/>
  <c r="C15" i="472"/>
  <c r="E14" i="472"/>
  <c r="D14" i="472"/>
  <c r="C14" i="472"/>
  <c r="F14" i="472" s="1"/>
  <c r="E13" i="472"/>
  <c r="D13" i="472"/>
  <c r="C13" i="472"/>
  <c r="F13" i="472" s="1"/>
  <c r="E12" i="472"/>
  <c r="D12" i="472"/>
  <c r="C12" i="472"/>
  <c r="F12" i="472" s="1"/>
  <c r="E11" i="472"/>
  <c r="D11" i="472"/>
  <c r="C11" i="472"/>
  <c r="E10" i="472"/>
  <c r="D10" i="472"/>
  <c r="C10" i="472"/>
  <c r="F10" i="472" s="1"/>
  <c r="E9" i="472"/>
  <c r="D9" i="472"/>
  <c r="C9" i="472"/>
  <c r="F9" i="472" s="1"/>
  <c r="E8" i="472"/>
  <c r="D8" i="472"/>
  <c r="C8" i="472"/>
  <c r="F8" i="472" s="1"/>
  <c r="B8" i="472"/>
  <c r="E22" i="471"/>
  <c r="D22" i="471"/>
  <c r="C22" i="471"/>
  <c r="E21" i="471"/>
  <c r="D21" i="471"/>
  <c r="C21" i="471"/>
  <c r="F21" i="471" s="1"/>
  <c r="E20" i="471"/>
  <c r="D20" i="471"/>
  <c r="C20" i="471"/>
  <c r="F20" i="471" s="1"/>
  <c r="E19" i="471"/>
  <c r="D19" i="471"/>
  <c r="C19" i="471"/>
  <c r="E18" i="471"/>
  <c r="D18" i="471"/>
  <c r="C18" i="471"/>
  <c r="E17" i="471"/>
  <c r="D17" i="471"/>
  <c r="C17" i="471"/>
  <c r="F17" i="471" s="1"/>
  <c r="E16" i="471"/>
  <c r="D16" i="471"/>
  <c r="C16" i="471"/>
  <c r="F16" i="471" s="1"/>
  <c r="E15" i="471"/>
  <c r="D15" i="471"/>
  <c r="C15" i="471"/>
  <c r="E14" i="471"/>
  <c r="D14" i="471"/>
  <c r="C14" i="471"/>
  <c r="E13" i="471"/>
  <c r="D13" i="471"/>
  <c r="C13" i="471"/>
  <c r="F13" i="471" s="1"/>
  <c r="E12" i="471"/>
  <c r="D12" i="471"/>
  <c r="C12" i="471"/>
  <c r="E11" i="471"/>
  <c r="D11" i="471"/>
  <c r="C11" i="471"/>
  <c r="F11" i="471" s="1"/>
  <c r="E10" i="471"/>
  <c r="D10" i="471"/>
  <c r="C10" i="471"/>
  <c r="E9" i="471"/>
  <c r="D9" i="471"/>
  <c r="C9" i="471"/>
  <c r="F9" i="471" s="1"/>
  <c r="E8" i="471"/>
  <c r="D8" i="471"/>
  <c r="C8" i="471"/>
  <c r="B8" i="471"/>
  <c r="E28" i="1"/>
  <c r="C28" i="1"/>
  <c r="E25" i="1"/>
  <c r="C25" i="1"/>
  <c r="E24" i="1"/>
  <c r="C24" i="1"/>
  <c r="E23" i="1"/>
  <c r="C23" i="1"/>
  <c r="C20" i="1"/>
  <c r="E22" i="470"/>
  <c r="D22" i="470"/>
  <c r="F22" i="470" s="1"/>
  <c r="C22" i="470"/>
  <c r="E21" i="470"/>
  <c r="D21" i="470"/>
  <c r="F21" i="470" s="1"/>
  <c r="C21" i="470"/>
  <c r="E20" i="470"/>
  <c r="D20" i="470"/>
  <c r="C20" i="470"/>
  <c r="E19" i="470"/>
  <c r="D19" i="470"/>
  <c r="F19" i="470" s="1"/>
  <c r="C19" i="470"/>
  <c r="E18" i="470"/>
  <c r="D18" i="470"/>
  <c r="F18" i="470" s="1"/>
  <c r="C18" i="470"/>
  <c r="E17" i="470"/>
  <c r="D17" i="470"/>
  <c r="F17" i="470" s="1"/>
  <c r="C17" i="470"/>
  <c r="E16" i="470"/>
  <c r="D16" i="470"/>
  <c r="C16" i="470"/>
  <c r="E15" i="470"/>
  <c r="D15" i="470"/>
  <c r="F15" i="470" s="1"/>
  <c r="C15" i="470"/>
  <c r="E14" i="470"/>
  <c r="D14" i="470"/>
  <c r="F14" i="470" s="1"/>
  <c r="C14" i="470"/>
  <c r="E13" i="470"/>
  <c r="D13" i="470"/>
  <c r="F13" i="470" s="1"/>
  <c r="C13" i="470"/>
  <c r="E12" i="470"/>
  <c r="D12" i="470"/>
  <c r="C12" i="470"/>
  <c r="E11" i="470"/>
  <c r="D11" i="470"/>
  <c r="F11" i="470" s="1"/>
  <c r="C11" i="470"/>
  <c r="E10" i="470"/>
  <c r="D10" i="470"/>
  <c r="F10" i="470" s="1"/>
  <c r="C10" i="470"/>
  <c r="E9" i="470"/>
  <c r="D9" i="470"/>
  <c r="F9" i="470" s="1"/>
  <c r="C9" i="470"/>
  <c r="E8" i="470"/>
  <c r="D8" i="470"/>
  <c r="C8" i="470"/>
  <c r="B8" i="470"/>
  <c r="E22" i="469"/>
  <c r="D22" i="469"/>
  <c r="C22" i="469"/>
  <c r="F22" i="469" s="1"/>
  <c r="E21" i="469"/>
  <c r="D21" i="469"/>
  <c r="C21" i="469"/>
  <c r="F21" i="469" s="1"/>
  <c r="E20" i="469"/>
  <c r="D20" i="469"/>
  <c r="C20" i="469"/>
  <c r="F20" i="469" s="1"/>
  <c r="E19" i="469"/>
  <c r="D19" i="469"/>
  <c r="C19" i="469"/>
  <c r="F19" i="469" s="1"/>
  <c r="E18" i="469"/>
  <c r="D18" i="469"/>
  <c r="C18" i="469"/>
  <c r="F18" i="469" s="1"/>
  <c r="E17" i="469"/>
  <c r="D17" i="469"/>
  <c r="C17" i="469"/>
  <c r="F17" i="469" s="1"/>
  <c r="E16" i="469"/>
  <c r="D16" i="469"/>
  <c r="C16" i="469"/>
  <c r="F16" i="469" s="1"/>
  <c r="E15" i="469"/>
  <c r="D15" i="469"/>
  <c r="C15" i="469"/>
  <c r="F15" i="469" s="1"/>
  <c r="E14" i="469"/>
  <c r="D14" i="469"/>
  <c r="C14" i="469"/>
  <c r="F14" i="469" s="1"/>
  <c r="E13" i="469"/>
  <c r="D13" i="469"/>
  <c r="C13" i="469"/>
  <c r="F13" i="469" s="1"/>
  <c r="E12" i="469"/>
  <c r="D12" i="469"/>
  <c r="C12" i="469"/>
  <c r="F12" i="469" s="1"/>
  <c r="E11" i="469"/>
  <c r="D11" i="469"/>
  <c r="C11" i="469"/>
  <c r="F11" i="469" s="1"/>
  <c r="E10" i="469"/>
  <c r="D10" i="469"/>
  <c r="C10" i="469"/>
  <c r="F10" i="469" s="1"/>
  <c r="E9" i="469"/>
  <c r="D9" i="469"/>
  <c r="C9" i="469"/>
  <c r="F9" i="469" s="1"/>
  <c r="E8" i="469"/>
  <c r="D8" i="469"/>
  <c r="C8" i="469"/>
  <c r="F8" i="469" s="1"/>
  <c r="B8" i="469"/>
  <c r="F8" i="478" l="1"/>
  <c r="F12" i="478"/>
  <c r="F16" i="478"/>
  <c r="F20" i="478"/>
  <c r="F9" i="476"/>
  <c r="F13" i="476"/>
  <c r="F17" i="476"/>
  <c r="F21" i="476"/>
  <c r="F10" i="475"/>
  <c r="F14" i="475"/>
  <c r="F18" i="475"/>
  <c r="F22" i="475"/>
  <c r="F8" i="475"/>
  <c r="F12" i="475"/>
  <c r="F16" i="475"/>
  <c r="F20" i="475"/>
  <c r="F15" i="475"/>
  <c r="F19" i="475"/>
  <c r="F9" i="475"/>
  <c r="F13" i="475"/>
  <c r="F17" i="475"/>
  <c r="F21" i="475"/>
  <c r="F8" i="474"/>
  <c r="F12" i="474"/>
  <c r="F16" i="474"/>
  <c r="F20" i="474"/>
  <c r="F11" i="474"/>
  <c r="F15" i="474"/>
  <c r="F19" i="474"/>
  <c r="F9" i="474"/>
  <c r="F13" i="474"/>
  <c r="F17" i="474"/>
  <c r="F21" i="474"/>
  <c r="F9" i="473"/>
  <c r="F13" i="473"/>
  <c r="F17" i="473"/>
  <c r="F21" i="473"/>
  <c r="F11" i="472"/>
  <c r="F15" i="472"/>
  <c r="F19" i="472"/>
  <c r="F15" i="471"/>
  <c r="F19" i="471"/>
  <c r="F10" i="471"/>
  <c r="F14" i="471"/>
  <c r="F18" i="471"/>
  <c r="F22" i="471"/>
  <c r="F8" i="471"/>
  <c r="F12" i="471"/>
  <c r="F8" i="470"/>
  <c r="F12" i="470"/>
  <c r="F16" i="470"/>
  <c r="F20" i="470"/>
  <c r="E9" i="1"/>
  <c r="C9" i="1"/>
  <c r="I21" i="464" l="1"/>
  <c r="F21" i="464"/>
  <c r="D21" i="464"/>
  <c r="I20" i="464"/>
  <c r="F20" i="464"/>
  <c r="D20" i="464"/>
  <c r="I19" i="464"/>
  <c r="F19" i="464"/>
  <c r="D19" i="464"/>
  <c r="I18" i="464"/>
  <c r="F18" i="464"/>
  <c r="D18" i="464"/>
  <c r="I17" i="464"/>
  <c r="F17" i="464"/>
  <c r="D17" i="464"/>
  <c r="I16" i="464"/>
  <c r="F16" i="464"/>
  <c r="D16" i="464"/>
  <c r="I15" i="464"/>
  <c r="F15" i="464"/>
  <c r="D15" i="464"/>
  <c r="I14" i="464"/>
  <c r="F14" i="464"/>
  <c r="D14" i="464"/>
  <c r="I13" i="464"/>
  <c r="F13" i="464"/>
  <c r="D13" i="464"/>
  <c r="I12" i="464"/>
  <c r="F12" i="464"/>
  <c r="D12" i="464"/>
  <c r="I11" i="464"/>
  <c r="F11" i="464"/>
  <c r="D11" i="464"/>
  <c r="I10" i="464"/>
  <c r="F10" i="464"/>
  <c r="D10" i="464"/>
  <c r="I9" i="464"/>
  <c r="F9" i="464"/>
  <c r="D9" i="464"/>
  <c r="I8" i="464"/>
  <c r="F8" i="464"/>
  <c r="D8" i="464"/>
  <c r="Q7" i="464"/>
  <c r="O7" i="464"/>
  <c r="N7" i="464"/>
  <c r="M7" i="464"/>
  <c r="F7" i="464"/>
  <c r="P7" i="464" s="1"/>
  <c r="D7" i="464"/>
  <c r="Q21" i="464" l="1"/>
  <c r="L8" i="464"/>
  <c r="M8" i="464"/>
  <c r="O8" i="464"/>
  <c r="M10" i="464"/>
  <c r="Q10" i="464"/>
  <c r="L11" i="464"/>
  <c r="P11" i="464"/>
  <c r="O12" i="464"/>
  <c r="N13" i="464"/>
  <c r="M14" i="464"/>
  <c r="Q14" i="464"/>
  <c r="L15" i="464"/>
  <c r="P15" i="464"/>
  <c r="O16" i="464"/>
  <c r="N17" i="464"/>
  <c r="M18" i="464"/>
  <c r="Q18" i="464"/>
  <c r="L19" i="464"/>
  <c r="P19" i="464"/>
  <c r="O20" i="464"/>
  <c r="N21" i="464"/>
  <c r="N10" i="464"/>
  <c r="Q11" i="464"/>
  <c r="L12" i="464"/>
  <c r="O13" i="464"/>
  <c r="N14" i="464"/>
  <c r="M15" i="464"/>
  <c r="Q15" i="464"/>
  <c r="L16" i="464"/>
  <c r="P16" i="464"/>
  <c r="O17" i="464"/>
  <c r="N18" i="464"/>
  <c r="M19" i="464"/>
  <c r="Q19" i="464"/>
  <c r="L20" i="464"/>
  <c r="P20" i="464"/>
  <c r="O21" i="464"/>
  <c r="N9" i="464"/>
  <c r="P8" i="464"/>
  <c r="P12" i="464"/>
  <c r="Q8" i="464"/>
  <c r="M12" i="464"/>
  <c r="O18" i="464"/>
  <c r="N19" i="464"/>
  <c r="M20" i="464"/>
  <c r="Q20" i="464"/>
  <c r="L21" i="464"/>
  <c r="P21" i="464"/>
  <c r="O9" i="464"/>
  <c r="M11" i="464"/>
  <c r="L9" i="464"/>
  <c r="P9" i="464"/>
  <c r="O10" i="464"/>
  <c r="N11" i="464"/>
  <c r="Q12" i="464"/>
  <c r="L13" i="464"/>
  <c r="P13" i="464"/>
  <c r="O14" i="464"/>
  <c r="N15" i="464"/>
  <c r="M16" i="464"/>
  <c r="Q16" i="464"/>
  <c r="L17" i="464"/>
  <c r="P17" i="464"/>
  <c r="N8" i="464"/>
  <c r="M9" i="464"/>
  <c r="Q9" i="464"/>
  <c r="L10" i="464"/>
  <c r="P10" i="464"/>
  <c r="O11" i="464"/>
  <c r="N12" i="464"/>
  <c r="M13" i="464"/>
  <c r="Q13" i="464"/>
  <c r="L14" i="464"/>
  <c r="P14" i="464"/>
  <c r="O15" i="464"/>
  <c r="N16" i="464"/>
  <c r="M17" i="464"/>
  <c r="Q17" i="464"/>
  <c r="L18" i="464"/>
  <c r="P18" i="464"/>
  <c r="O19" i="464"/>
  <c r="N20" i="464"/>
  <c r="M21" i="464"/>
  <c r="H97" i="202" l="1"/>
  <c r="H96" i="202"/>
  <c r="E29" i="19" l="1"/>
  <c r="E28" i="19"/>
  <c r="C28" i="456" l="1"/>
  <c r="C25" i="456"/>
  <c r="U7" i="274" l="1"/>
  <c r="U8" i="274"/>
  <c r="U9" i="274"/>
  <c r="U10" i="274"/>
  <c r="U11" i="274"/>
  <c r="U12" i="274"/>
  <c r="U13" i="274"/>
  <c r="U14" i="274"/>
  <c r="U15" i="274"/>
  <c r="U16" i="274"/>
  <c r="U17" i="274"/>
  <c r="U18" i="274"/>
  <c r="U19" i="274"/>
  <c r="U20" i="274"/>
  <c r="C23" i="456" l="1"/>
  <c r="C18" i="456"/>
  <c r="K26" i="201"/>
  <c r="J26" i="201"/>
  <c r="K25" i="201"/>
  <c r="J25" i="201"/>
  <c r="K24" i="201"/>
  <c r="J24" i="201"/>
  <c r="K23" i="201"/>
  <c r="J23" i="201"/>
  <c r="K22" i="201"/>
  <c r="J22" i="201"/>
  <c r="K21" i="201"/>
  <c r="J21" i="201"/>
  <c r="K20" i="201"/>
  <c r="J20" i="201"/>
  <c r="K19" i="201"/>
  <c r="J19" i="201"/>
  <c r="K18" i="201"/>
  <c r="J18" i="201"/>
  <c r="K17" i="201"/>
  <c r="J17" i="201"/>
  <c r="K16" i="201"/>
  <c r="J16" i="201"/>
  <c r="K15" i="201"/>
  <c r="J15" i="201"/>
  <c r="K14" i="201"/>
  <c r="J14" i="201"/>
  <c r="K13" i="201"/>
  <c r="J13" i="201"/>
  <c r="K12" i="201"/>
  <c r="J12" i="201"/>
  <c r="K11" i="201"/>
  <c r="J11" i="201"/>
  <c r="K10" i="201"/>
  <c r="J10" i="201"/>
  <c r="K9" i="201"/>
  <c r="J9" i="201"/>
  <c r="K8" i="201"/>
  <c r="J8" i="201"/>
  <c r="K26" i="239"/>
  <c r="J26" i="239"/>
  <c r="K25" i="239"/>
  <c r="J25" i="239"/>
  <c r="K24" i="239"/>
  <c r="J24" i="239"/>
  <c r="K23" i="239"/>
  <c r="J23" i="239"/>
  <c r="K22" i="239"/>
  <c r="J22" i="239"/>
  <c r="K21" i="239"/>
  <c r="J21" i="239"/>
  <c r="K20" i="239"/>
  <c r="J20" i="239"/>
  <c r="K19" i="239"/>
  <c r="J19" i="239"/>
  <c r="K18" i="239"/>
  <c r="J18" i="239"/>
  <c r="K17" i="239"/>
  <c r="J17" i="239"/>
  <c r="K16" i="239"/>
  <c r="J16" i="239"/>
  <c r="K15" i="239"/>
  <c r="J15" i="239"/>
  <c r="K14" i="239"/>
  <c r="J14" i="239"/>
  <c r="K13" i="239"/>
  <c r="J13" i="239"/>
  <c r="K12" i="239"/>
  <c r="J12" i="239"/>
  <c r="K11" i="239"/>
  <c r="J11" i="239"/>
  <c r="K10" i="239"/>
  <c r="J10" i="239"/>
  <c r="K9" i="239"/>
  <c r="J9" i="239"/>
  <c r="K8" i="239"/>
  <c r="J8" i="239"/>
  <c r="C57" i="456" l="1"/>
  <c r="C56" i="456"/>
  <c r="C55" i="456"/>
  <c r="C54" i="456"/>
  <c r="C50" i="456"/>
  <c r="C49" i="456"/>
  <c r="C48" i="456"/>
  <c r="C47" i="456"/>
  <c r="C43" i="456"/>
  <c r="C42" i="456"/>
  <c r="C41" i="456"/>
  <c r="C40" i="456"/>
  <c r="C36" i="456"/>
  <c r="C35" i="456"/>
  <c r="C34" i="456"/>
  <c r="C33" i="456"/>
  <c r="C29" i="456"/>
  <c r="C26" i="456"/>
  <c r="C22" i="456"/>
  <c r="C21" i="456"/>
  <c r="C20" i="456" s="1"/>
  <c r="C17" i="456"/>
  <c r="C16" i="456"/>
  <c r="C15" i="456" s="1"/>
  <c r="C8" i="456"/>
  <c r="C6" i="456"/>
  <c r="C4" i="456"/>
  <c r="C3" i="456"/>
  <c r="E13" i="116" l="1"/>
  <c r="E13" i="114"/>
  <c r="E11" i="114"/>
  <c r="E12" i="112"/>
  <c r="E14" i="258"/>
  <c r="E15" i="258"/>
  <c r="E13" i="256"/>
  <c r="C8" i="251"/>
  <c r="E56" i="306"/>
  <c r="E24" i="22"/>
  <c r="E19" i="313" l="1"/>
  <c r="E33" i="20"/>
  <c r="E27" i="19"/>
  <c r="E19" i="292"/>
  <c r="E31" i="17"/>
  <c r="C7" i="456"/>
  <c r="C5" i="456" l="1"/>
  <c r="E9" i="155" l="1"/>
  <c r="E9" i="153"/>
  <c r="E10" i="139"/>
  <c r="E9" i="130" l="1"/>
  <c r="C9" i="130"/>
  <c r="C12" i="116"/>
  <c r="E12" i="116"/>
  <c r="E9" i="114"/>
  <c r="E12" i="114"/>
  <c r="C8" i="113"/>
  <c r="C8" i="257"/>
  <c r="E17" i="256"/>
  <c r="E19" i="256"/>
  <c r="C11" i="47"/>
  <c r="C10" i="47"/>
  <c r="E12" i="47"/>
  <c r="E15" i="46"/>
  <c r="C14" i="306" l="1"/>
  <c r="E15" i="306"/>
  <c r="E14" i="22"/>
  <c r="C9" i="223" l="1"/>
  <c r="F22" i="352" l="1"/>
  <c r="F21" i="352"/>
  <c r="F20" i="352"/>
  <c r="F19" i="352"/>
  <c r="F18" i="352"/>
  <c r="F17" i="352"/>
  <c r="F16" i="352"/>
  <c r="F15" i="352"/>
  <c r="F14" i="352"/>
  <c r="F13" i="352"/>
  <c r="F12" i="352"/>
  <c r="F11" i="352"/>
  <c r="F10" i="352"/>
  <c r="F9" i="352"/>
  <c r="F8" i="352"/>
  <c r="B8" i="352"/>
  <c r="F22" i="351"/>
  <c r="F21" i="351"/>
  <c r="F20" i="351"/>
  <c r="F19" i="351"/>
  <c r="F18" i="351"/>
  <c r="F17" i="351"/>
  <c r="F16" i="351"/>
  <c r="F15" i="351"/>
  <c r="F14" i="351"/>
  <c r="F13" i="351"/>
  <c r="F12" i="351"/>
  <c r="F11" i="351"/>
  <c r="F10" i="351"/>
  <c r="F9" i="351"/>
  <c r="F8" i="351"/>
  <c r="B8" i="351"/>
  <c r="C8" i="12" l="1"/>
  <c r="D8" i="12"/>
  <c r="E8" i="12"/>
  <c r="C9" i="12"/>
  <c r="D9" i="12"/>
  <c r="E9" i="12"/>
  <c r="C10" i="12"/>
  <c r="F10" i="12" s="1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9" i="12"/>
  <c r="D19" i="12"/>
  <c r="E19" i="12"/>
  <c r="C20" i="12"/>
  <c r="F20" i="12" s="1"/>
  <c r="D20" i="12"/>
  <c r="E20" i="12"/>
  <c r="C21" i="12"/>
  <c r="D21" i="12"/>
  <c r="E21" i="12"/>
  <c r="C22" i="12"/>
  <c r="F22" i="12" s="1"/>
  <c r="D22" i="12"/>
  <c r="E22" i="12"/>
  <c r="C23" i="12"/>
  <c r="D23" i="12"/>
  <c r="E23" i="12"/>
  <c r="C24" i="12"/>
  <c r="F24" i="12" s="1"/>
  <c r="D24" i="12"/>
  <c r="E24" i="12"/>
  <c r="C25" i="12"/>
  <c r="D25" i="12"/>
  <c r="E25" i="12"/>
  <c r="C26" i="12"/>
  <c r="F26" i="12" s="1"/>
  <c r="D26" i="12"/>
  <c r="E26" i="12"/>
  <c r="C27" i="12"/>
  <c r="D27" i="12"/>
  <c r="E27" i="12"/>
  <c r="C28" i="12"/>
  <c r="D28" i="12"/>
  <c r="E28" i="12"/>
  <c r="C30" i="12"/>
  <c r="D30" i="12"/>
  <c r="E30" i="12"/>
  <c r="C31" i="12"/>
  <c r="D31" i="12"/>
  <c r="E31" i="12"/>
  <c r="C32" i="12"/>
  <c r="D32" i="12"/>
  <c r="E32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F37" i="12" s="1"/>
  <c r="D37" i="12"/>
  <c r="E37" i="12"/>
  <c r="C38" i="12"/>
  <c r="D38" i="12"/>
  <c r="E38" i="12"/>
  <c r="C39" i="12"/>
  <c r="F39" i="12" s="1"/>
  <c r="D39" i="12"/>
  <c r="E39" i="12"/>
  <c r="F8" i="12" l="1"/>
  <c r="F17" i="12"/>
  <c r="F11" i="12"/>
  <c r="F34" i="12"/>
  <c r="F32" i="12"/>
  <c r="F30" i="12"/>
  <c r="F14" i="12"/>
  <c r="F35" i="12"/>
  <c r="F33" i="12"/>
  <c r="F31" i="12"/>
  <c r="F28" i="12"/>
  <c r="F15" i="12"/>
  <c r="F13" i="12"/>
  <c r="F9" i="12"/>
  <c r="F38" i="12"/>
  <c r="F36" i="12"/>
  <c r="F27" i="12"/>
  <c r="F25" i="12"/>
  <c r="F23" i="12"/>
  <c r="F21" i="12"/>
  <c r="F19" i="12"/>
  <c r="F16" i="12"/>
  <c r="F12" i="12"/>
  <c r="B116" i="42"/>
  <c r="B98" i="42"/>
  <c r="B80" i="42"/>
  <c r="B62" i="42"/>
  <c r="B44" i="42"/>
  <c r="B26" i="42"/>
  <c r="B8" i="42"/>
  <c r="B7" i="35"/>
  <c r="B116" i="40"/>
  <c r="B98" i="40"/>
  <c r="B80" i="40"/>
  <c r="B62" i="40"/>
  <c r="B44" i="40"/>
  <c r="B26" i="40"/>
  <c r="B8" i="40"/>
  <c r="B7" i="34"/>
  <c r="B98" i="38"/>
  <c r="B83" i="38"/>
  <c r="B68" i="38"/>
  <c r="B53" i="38"/>
  <c r="B38" i="38"/>
  <c r="B23" i="38"/>
  <c r="B8" i="38"/>
  <c r="B116" i="33"/>
  <c r="B98" i="33"/>
  <c r="B80" i="33"/>
  <c r="B62" i="33"/>
  <c r="B44" i="33"/>
  <c r="B26" i="33"/>
  <c r="B8" i="33"/>
  <c r="B7" i="31"/>
  <c r="B128" i="320"/>
  <c r="B108" i="320"/>
  <c r="B88" i="320"/>
  <c r="B68" i="320"/>
  <c r="B48" i="320"/>
  <c r="B28" i="320"/>
  <c r="B8" i="320"/>
  <c r="B7" i="41"/>
  <c r="B7" i="39"/>
  <c r="B5" i="32"/>
  <c r="B98" i="37"/>
  <c r="B83" i="37"/>
  <c r="B68" i="37"/>
  <c r="B53" i="37"/>
  <c r="B38" i="37"/>
  <c r="B23" i="37"/>
  <c r="B8" i="37"/>
  <c r="B7" i="36"/>
  <c r="B128" i="326"/>
  <c r="B108" i="326"/>
  <c r="B88" i="326"/>
  <c r="B68" i="326"/>
  <c r="B48" i="326"/>
  <c r="B28" i="326"/>
  <c r="B8" i="326"/>
  <c r="B7" i="29"/>
  <c r="B7" i="28"/>
  <c r="B53" i="27"/>
  <c r="B38" i="27"/>
  <c r="B23" i="27"/>
  <c r="B8" i="27"/>
  <c r="B53" i="25"/>
  <c r="B38" i="25"/>
  <c r="B23" i="25"/>
  <c r="B8" i="25"/>
  <c r="B7" i="30"/>
  <c r="B68" i="331"/>
  <c r="B48" i="331"/>
  <c r="B28" i="331"/>
  <c r="B8" i="331"/>
  <c r="B16" i="196"/>
  <c r="B7" i="196"/>
  <c r="B16" i="194"/>
  <c r="B7" i="194"/>
  <c r="B7" i="308"/>
  <c r="B48" i="306"/>
  <c r="B28" i="306"/>
  <c r="B8" i="306"/>
  <c r="B7" i="301"/>
  <c r="B8" i="299"/>
  <c r="B8" i="313"/>
  <c r="B8" i="292"/>
  <c r="B8" i="285"/>
  <c r="B7" i="14"/>
  <c r="B7" i="13"/>
  <c r="B7" i="280" l="1"/>
  <c r="B8" i="278"/>
  <c r="B128" i="321"/>
  <c r="B108" i="321"/>
  <c r="B88" i="321"/>
  <c r="B68" i="321"/>
  <c r="B48" i="321"/>
  <c r="B28" i="321"/>
  <c r="B8" i="321"/>
  <c r="B66" i="274"/>
  <c r="B46" i="274"/>
  <c r="B26" i="274"/>
  <c r="B6" i="274"/>
  <c r="D31" i="333" l="1"/>
  <c r="D26" i="333"/>
  <c r="D21" i="333"/>
  <c r="D16" i="333"/>
  <c r="E78" i="333"/>
  <c r="E75" i="333"/>
  <c r="E72" i="333"/>
  <c r="E69" i="333"/>
  <c r="F73" i="333" l="1"/>
  <c r="F57" i="333"/>
  <c r="F41" i="333"/>
  <c r="F72" i="333"/>
  <c r="F56" i="333"/>
  <c r="F40" i="333"/>
  <c r="F79" i="333"/>
  <c r="F63" i="333"/>
  <c r="F47" i="333"/>
  <c r="F78" i="333"/>
  <c r="F62" i="333"/>
  <c r="F46" i="333"/>
  <c r="F70" i="333"/>
  <c r="F54" i="333"/>
  <c r="F38" i="333"/>
  <c r="F69" i="333"/>
  <c r="F53" i="333"/>
  <c r="F37" i="333"/>
  <c r="F76" i="333"/>
  <c r="F60" i="333"/>
  <c r="F44" i="333"/>
  <c r="F75" i="333"/>
  <c r="F59" i="333"/>
  <c r="F43" i="333"/>
  <c r="E38" i="333"/>
  <c r="E41" i="333"/>
  <c r="E44" i="333"/>
  <c r="E47" i="333"/>
  <c r="E54" i="333"/>
  <c r="E57" i="333"/>
  <c r="E60" i="333"/>
  <c r="E63" i="333"/>
  <c r="E70" i="333"/>
  <c r="E73" i="333"/>
  <c r="E76" i="333"/>
  <c r="E79" i="333"/>
  <c r="C3" i="333"/>
  <c r="E13" i="333"/>
  <c r="E14" i="333"/>
  <c r="E15" i="333"/>
  <c r="E16" i="333"/>
  <c r="E18" i="333"/>
  <c r="E19" i="333"/>
  <c r="E20" i="333"/>
  <c r="E21" i="333"/>
  <c r="E23" i="333"/>
  <c r="E24" i="333"/>
  <c r="E25" i="333"/>
  <c r="E26" i="333"/>
  <c r="E28" i="333"/>
  <c r="E29" i="333"/>
  <c r="E30" i="333"/>
  <c r="E31" i="333"/>
  <c r="E37" i="333"/>
  <c r="E40" i="333"/>
  <c r="E43" i="333"/>
  <c r="E46" i="333"/>
  <c r="E53" i="333"/>
  <c r="E56" i="333"/>
  <c r="E59" i="333"/>
  <c r="E62" i="333"/>
  <c r="E68" i="332" l="1"/>
  <c r="E543" i="332" l="1"/>
  <c r="E542" i="332"/>
  <c r="E541" i="332"/>
  <c r="E540" i="332"/>
  <c r="E539" i="332"/>
  <c r="E538" i="332"/>
  <c r="E537" i="332"/>
  <c r="E536" i="332"/>
  <c r="E535" i="332"/>
  <c r="E534" i="332"/>
  <c r="E533" i="332"/>
  <c r="E532" i="332"/>
  <c r="E531" i="332"/>
  <c r="E530" i="332"/>
  <c r="E529" i="332"/>
  <c r="E528" i="332"/>
  <c r="E527" i="332"/>
  <c r="E526" i="332"/>
  <c r="E525" i="332"/>
  <c r="E524" i="332"/>
  <c r="E523" i="332"/>
  <c r="E522" i="332"/>
  <c r="E521" i="332"/>
  <c r="E520" i="332"/>
  <c r="E519" i="332"/>
  <c r="E518" i="332"/>
  <c r="E517" i="332"/>
  <c r="E516" i="332"/>
  <c r="E515" i="332"/>
  <c r="E514" i="332"/>
  <c r="E513" i="332"/>
  <c r="E512" i="332"/>
  <c r="E407" i="332"/>
  <c r="E406" i="332"/>
  <c r="E405" i="332"/>
  <c r="E404" i="332"/>
  <c r="E403" i="332"/>
  <c r="E402" i="332"/>
  <c r="E401" i="332"/>
  <c r="E400" i="332"/>
  <c r="E399" i="332"/>
  <c r="E398" i="332"/>
  <c r="E397" i="332"/>
  <c r="E396" i="332"/>
  <c r="E395" i="332"/>
  <c r="E394" i="332"/>
  <c r="E393" i="332"/>
  <c r="E392" i="332"/>
  <c r="E391" i="332"/>
  <c r="E390" i="332"/>
  <c r="E389" i="332"/>
  <c r="E388" i="332"/>
  <c r="E387" i="332"/>
  <c r="E386" i="332"/>
  <c r="E385" i="332"/>
  <c r="E384" i="332"/>
  <c r="E383" i="332"/>
  <c r="E382" i="332"/>
  <c r="E381" i="332"/>
  <c r="E380" i="332"/>
  <c r="E379" i="332"/>
  <c r="E378" i="332"/>
  <c r="E377" i="332"/>
  <c r="E376" i="332"/>
  <c r="E270" i="332"/>
  <c r="E269" i="332"/>
  <c r="E268" i="332"/>
  <c r="E267" i="332"/>
  <c r="E266" i="332"/>
  <c r="E265" i="332"/>
  <c r="E264" i="332"/>
  <c r="E263" i="332"/>
  <c r="E262" i="332"/>
  <c r="E261" i="332"/>
  <c r="E260" i="332"/>
  <c r="E259" i="332"/>
  <c r="E258" i="332"/>
  <c r="E257" i="332"/>
  <c r="E256" i="332"/>
  <c r="E255" i="332"/>
  <c r="E254" i="332"/>
  <c r="E253" i="332"/>
  <c r="E252" i="332"/>
  <c r="E251" i="332"/>
  <c r="E250" i="332"/>
  <c r="E249" i="332"/>
  <c r="E248" i="332"/>
  <c r="E247" i="332"/>
  <c r="E246" i="332"/>
  <c r="E245" i="332"/>
  <c r="E244" i="332"/>
  <c r="E243" i="332"/>
  <c r="E242" i="332"/>
  <c r="E241" i="332"/>
  <c r="E240" i="332"/>
  <c r="E239" i="332"/>
  <c r="E134" i="332"/>
  <c r="E133" i="332"/>
  <c r="E132" i="332"/>
  <c r="E131" i="332"/>
  <c r="E130" i="332"/>
  <c r="E129" i="332"/>
  <c r="E128" i="332"/>
  <c r="E127" i="332"/>
  <c r="E126" i="332"/>
  <c r="E125" i="332"/>
  <c r="E124" i="332"/>
  <c r="E123" i="332"/>
  <c r="E122" i="332"/>
  <c r="E121" i="332"/>
  <c r="F341" i="332"/>
  <c r="F340" i="332"/>
  <c r="F339" i="332"/>
  <c r="F338" i="332"/>
  <c r="F337" i="332"/>
  <c r="F336" i="332"/>
  <c r="F335" i="332"/>
  <c r="F334" i="332"/>
  <c r="F333" i="332"/>
  <c r="F332" i="332"/>
  <c r="F331" i="332"/>
  <c r="F330" i="332"/>
  <c r="F329" i="332"/>
  <c r="F328" i="332"/>
  <c r="F327" i="332"/>
  <c r="F326" i="332"/>
  <c r="F325" i="332"/>
  <c r="F324" i="332"/>
  <c r="F323" i="332"/>
  <c r="F322" i="332"/>
  <c r="F321" i="332"/>
  <c r="F320" i="332"/>
  <c r="F319" i="332"/>
  <c r="F318" i="332"/>
  <c r="F317" i="332"/>
  <c r="F316" i="332"/>
  <c r="F315" i="332"/>
  <c r="F314" i="332"/>
  <c r="F313" i="332"/>
  <c r="F312" i="332"/>
  <c r="F311" i="332"/>
  <c r="F310" i="332"/>
  <c r="F204" i="332"/>
  <c r="F203" i="332"/>
  <c r="F202" i="332"/>
  <c r="F201" i="332"/>
  <c r="F200" i="332"/>
  <c r="F199" i="332"/>
  <c r="F198" i="332"/>
  <c r="F197" i="332"/>
  <c r="F196" i="332"/>
  <c r="F195" i="332"/>
  <c r="F194" i="332"/>
  <c r="F193" i="332"/>
  <c r="F192" i="332"/>
  <c r="F191" i="332"/>
  <c r="F190" i="332"/>
  <c r="F189" i="332"/>
  <c r="F188" i="332"/>
  <c r="F187" i="332"/>
  <c r="F186" i="332"/>
  <c r="F185" i="332"/>
  <c r="F184" i="332"/>
  <c r="F183" i="332"/>
  <c r="F182" i="332"/>
  <c r="F181" i="332"/>
  <c r="F180" i="332"/>
  <c r="F179" i="332"/>
  <c r="F178" i="332"/>
  <c r="F177" i="332"/>
  <c r="F176" i="332"/>
  <c r="F175" i="332"/>
  <c r="F174" i="332"/>
  <c r="F173" i="332"/>
  <c r="G204" i="332"/>
  <c r="G203" i="332"/>
  <c r="G202" i="332"/>
  <c r="G201" i="332"/>
  <c r="G200" i="332"/>
  <c r="G199" i="332"/>
  <c r="G198" i="332"/>
  <c r="G197" i="332"/>
  <c r="G196" i="332"/>
  <c r="G195" i="332"/>
  <c r="G194" i="332"/>
  <c r="G193" i="332"/>
  <c r="G192" i="332"/>
  <c r="G191" i="332"/>
  <c r="G190" i="332"/>
  <c r="G189" i="332"/>
  <c r="G188" i="332"/>
  <c r="G187" i="332"/>
  <c r="G186" i="332"/>
  <c r="G185" i="332"/>
  <c r="G184" i="332"/>
  <c r="G183" i="332"/>
  <c r="G182" i="332"/>
  <c r="G181" i="332"/>
  <c r="G180" i="332"/>
  <c r="G179" i="332"/>
  <c r="G178" i="332"/>
  <c r="G177" i="332"/>
  <c r="G176" i="332"/>
  <c r="G175" i="332"/>
  <c r="G174" i="332"/>
  <c r="G173" i="332"/>
  <c r="F374" i="332"/>
  <c r="F373" i="332"/>
  <c r="F372" i="332"/>
  <c r="F371" i="332"/>
  <c r="F370" i="332"/>
  <c r="F369" i="332"/>
  <c r="F368" i="332"/>
  <c r="F367" i="332"/>
  <c r="F366" i="332"/>
  <c r="F365" i="332"/>
  <c r="F364" i="332"/>
  <c r="F363" i="332"/>
  <c r="F362" i="332"/>
  <c r="F361" i="332"/>
  <c r="F360" i="332"/>
  <c r="F359" i="332"/>
  <c r="F358" i="332"/>
  <c r="F357" i="332"/>
  <c r="F356" i="332"/>
  <c r="F355" i="332"/>
  <c r="F354" i="332"/>
  <c r="F353" i="332"/>
  <c r="F352" i="332"/>
  <c r="F351" i="332"/>
  <c r="F350" i="332"/>
  <c r="F349" i="332"/>
  <c r="F348" i="332"/>
  <c r="F347" i="332"/>
  <c r="F346" i="332"/>
  <c r="F345" i="332"/>
  <c r="F344" i="332"/>
  <c r="F343" i="332"/>
  <c r="F237" i="332"/>
  <c r="F236" i="332"/>
  <c r="F235" i="332"/>
  <c r="F234" i="332"/>
  <c r="F233" i="332"/>
  <c r="F232" i="332"/>
  <c r="F231" i="332"/>
  <c r="F230" i="332"/>
  <c r="F229" i="332"/>
  <c r="F228" i="332"/>
  <c r="F227" i="332"/>
  <c r="F226" i="332"/>
  <c r="F225" i="332"/>
  <c r="F224" i="332"/>
  <c r="F223" i="332"/>
  <c r="F222" i="332"/>
  <c r="F221" i="332"/>
  <c r="F220" i="332"/>
  <c r="F219" i="332"/>
  <c r="F218" i="332"/>
  <c r="F217" i="332"/>
  <c r="F216" i="332"/>
  <c r="F215" i="332"/>
  <c r="F214" i="332"/>
  <c r="F213" i="332"/>
  <c r="F212" i="332"/>
  <c r="F211" i="332"/>
  <c r="F210" i="332"/>
  <c r="F209" i="332"/>
  <c r="F208" i="332"/>
  <c r="F207" i="332"/>
  <c r="F206" i="332"/>
  <c r="G374" i="332"/>
  <c r="G373" i="332"/>
  <c r="G372" i="332"/>
  <c r="G371" i="332"/>
  <c r="G370" i="332"/>
  <c r="G369" i="332"/>
  <c r="G368" i="332"/>
  <c r="G367" i="332"/>
  <c r="G366" i="332"/>
  <c r="G365" i="332"/>
  <c r="G364" i="332"/>
  <c r="G363" i="332"/>
  <c r="G362" i="332"/>
  <c r="G361" i="332"/>
  <c r="G360" i="332"/>
  <c r="G359" i="332"/>
  <c r="G358" i="332"/>
  <c r="G357" i="332"/>
  <c r="G356" i="332"/>
  <c r="G355" i="332"/>
  <c r="G354" i="332"/>
  <c r="G353" i="332"/>
  <c r="G352" i="332"/>
  <c r="G351" i="332"/>
  <c r="G350" i="332"/>
  <c r="G349" i="332"/>
  <c r="G348" i="332"/>
  <c r="G347" i="332"/>
  <c r="G346" i="332"/>
  <c r="G345" i="332"/>
  <c r="G344" i="332"/>
  <c r="G343" i="332"/>
  <c r="F407" i="332"/>
  <c r="F406" i="332"/>
  <c r="F405" i="332"/>
  <c r="F404" i="332"/>
  <c r="F403" i="332"/>
  <c r="F402" i="332"/>
  <c r="F401" i="332"/>
  <c r="F400" i="332"/>
  <c r="F399" i="332"/>
  <c r="F398" i="332"/>
  <c r="F397" i="332"/>
  <c r="F396" i="332"/>
  <c r="F395" i="332"/>
  <c r="F394" i="332"/>
  <c r="F393" i="332"/>
  <c r="F392" i="332"/>
  <c r="F391" i="332"/>
  <c r="F390" i="332"/>
  <c r="F389" i="332"/>
  <c r="F388" i="332"/>
  <c r="F387" i="332"/>
  <c r="F386" i="332"/>
  <c r="F385" i="332"/>
  <c r="F384" i="332"/>
  <c r="F383" i="332"/>
  <c r="F382" i="332"/>
  <c r="F381" i="332"/>
  <c r="F380" i="332"/>
  <c r="F379" i="332"/>
  <c r="F378" i="332"/>
  <c r="F377" i="332"/>
  <c r="F376" i="332"/>
  <c r="F270" i="332"/>
  <c r="F269" i="332"/>
  <c r="F268" i="332"/>
  <c r="F267" i="332"/>
  <c r="F266" i="332"/>
  <c r="F265" i="332"/>
  <c r="F264" i="332"/>
  <c r="F263" i="332"/>
  <c r="F262" i="332"/>
  <c r="F261" i="332"/>
  <c r="F260" i="332"/>
  <c r="F259" i="332"/>
  <c r="F258" i="332"/>
  <c r="F257" i="332"/>
  <c r="F256" i="332"/>
  <c r="F255" i="332"/>
  <c r="F254" i="332"/>
  <c r="F253" i="332"/>
  <c r="F252" i="332"/>
  <c r="F251" i="332"/>
  <c r="F250" i="332"/>
  <c r="F249" i="332"/>
  <c r="F248" i="332"/>
  <c r="F247" i="332"/>
  <c r="F246" i="332"/>
  <c r="F245" i="332"/>
  <c r="F244" i="332"/>
  <c r="F243" i="332"/>
  <c r="F242" i="332"/>
  <c r="F241" i="332"/>
  <c r="F240" i="332"/>
  <c r="F239" i="332"/>
  <c r="G134" i="332"/>
  <c r="G133" i="332"/>
  <c r="G132" i="332"/>
  <c r="G131" i="332"/>
  <c r="G130" i="332"/>
  <c r="G129" i="332"/>
  <c r="G128" i="332"/>
  <c r="G127" i="332"/>
  <c r="G126" i="332"/>
  <c r="G125" i="332"/>
  <c r="G124" i="332"/>
  <c r="G123" i="332"/>
  <c r="G122" i="332"/>
  <c r="G121" i="332"/>
  <c r="G120" i="332"/>
  <c r="G407" i="332"/>
  <c r="G406" i="332"/>
  <c r="G405" i="332"/>
  <c r="G404" i="332"/>
  <c r="G403" i="332"/>
  <c r="G402" i="332"/>
  <c r="G401" i="332"/>
  <c r="G400" i="332"/>
  <c r="G399" i="332"/>
  <c r="G398" i="332"/>
  <c r="G397" i="332"/>
  <c r="G396" i="332"/>
  <c r="G395" i="332"/>
  <c r="G394" i="332"/>
  <c r="G393" i="332"/>
  <c r="G392" i="332"/>
  <c r="G391" i="332"/>
  <c r="G390" i="332"/>
  <c r="G389" i="332"/>
  <c r="G388" i="332"/>
  <c r="G387" i="332"/>
  <c r="G386" i="332"/>
  <c r="G385" i="332"/>
  <c r="G384" i="332"/>
  <c r="G383" i="332"/>
  <c r="G382" i="332"/>
  <c r="G381" i="332"/>
  <c r="G380" i="332"/>
  <c r="G379" i="332"/>
  <c r="G378" i="332"/>
  <c r="G377" i="332"/>
  <c r="G376" i="332"/>
  <c r="F440" i="332"/>
  <c r="F439" i="332"/>
  <c r="F438" i="332"/>
  <c r="F437" i="332"/>
  <c r="F436" i="332"/>
  <c r="F435" i="332"/>
  <c r="F434" i="332"/>
  <c r="F433" i="332"/>
  <c r="F432" i="332"/>
  <c r="F431" i="332"/>
  <c r="F430" i="332"/>
  <c r="F429" i="332"/>
  <c r="F428" i="332"/>
  <c r="F427" i="332"/>
  <c r="F426" i="332"/>
  <c r="F425" i="332"/>
  <c r="F424" i="332"/>
  <c r="F423" i="332"/>
  <c r="F422" i="332"/>
  <c r="F421" i="332"/>
  <c r="F420" i="332"/>
  <c r="G167" i="332"/>
  <c r="G166" i="332"/>
  <c r="G165" i="332"/>
  <c r="G164" i="332"/>
  <c r="G163" i="332"/>
  <c r="G162" i="332"/>
  <c r="G161" i="332"/>
  <c r="G160" i="332"/>
  <c r="G159" i="332"/>
  <c r="G158" i="332"/>
  <c r="F419" i="332"/>
  <c r="F418" i="332"/>
  <c r="F417" i="332"/>
  <c r="F416" i="332"/>
  <c r="F415" i="332"/>
  <c r="F414" i="332"/>
  <c r="F413" i="332"/>
  <c r="F412" i="332"/>
  <c r="F411" i="332"/>
  <c r="F410" i="332"/>
  <c r="F409" i="332"/>
  <c r="F303" i="332"/>
  <c r="F302" i="332"/>
  <c r="F301" i="332"/>
  <c r="F300" i="332"/>
  <c r="F299" i="332"/>
  <c r="F298" i="332"/>
  <c r="F297" i="332"/>
  <c r="F296" i="332"/>
  <c r="F295" i="332"/>
  <c r="F294" i="332"/>
  <c r="F293" i="332"/>
  <c r="F292" i="332"/>
  <c r="F291" i="332"/>
  <c r="F290" i="332"/>
  <c r="F289" i="332"/>
  <c r="F288" i="332"/>
  <c r="F287" i="332"/>
  <c r="F286" i="332"/>
  <c r="F285" i="332"/>
  <c r="F284" i="332"/>
  <c r="F283" i="332"/>
  <c r="F282" i="332"/>
  <c r="F281" i="332"/>
  <c r="F280" i="332"/>
  <c r="F279" i="332"/>
  <c r="F278" i="332"/>
  <c r="F277" i="332"/>
  <c r="F276" i="332"/>
  <c r="F275" i="332"/>
  <c r="F274" i="332"/>
  <c r="F273" i="332"/>
  <c r="F272" i="332"/>
  <c r="F167" i="332"/>
  <c r="F166" i="332"/>
  <c r="F165" i="332"/>
  <c r="F164" i="332"/>
  <c r="F163" i="332"/>
  <c r="F162" i="332"/>
  <c r="F161" i="332"/>
  <c r="F160" i="332"/>
  <c r="F159" i="332"/>
  <c r="F158" i="332"/>
  <c r="G157" i="332"/>
  <c r="G156" i="332"/>
  <c r="G155" i="332"/>
  <c r="G154" i="332"/>
  <c r="G153" i="332"/>
  <c r="G152" i="332"/>
  <c r="G151" i="332"/>
  <c r="G150" i="332"/>
  <c r="G149" i="332"/>
  <c r="G148" i="332"/>
  <c r="G147" i="332"/>
  <c r="G146" i="332"/>
  <c r="G145" i="332"/>
  <c r="G144" i="332"/>
  <c r="G143" i="332"/>
  <c r="G142" i="332"/>
  <c r="G141" i="332"/>
  <c r="G140" i="332"/>
  <c r="G139" i="332"/>
  <c r="G138" i="332"/>
  <c r="G137" i="332"/>
  <c r="G136" i="332"/>
  <c r="G440" i="332"/>
  <c r="G439" i="332"/>
  <c r="G438" i="332"/>
  <c r="G437" i="332"/>
  <c r="G436" i="332"/>
  <c r="G435" i="332"/>
  <c r="G434" i="332"/>
  <c r="G433" i="332"/>
  <c r="G432" i="332"/>
  <c r="G431" i="332"/>
  <c r="G430" i="332"/>
  <c r="G429" i="332"/>
  <c r="G428" i="332"/>
  <c r="G427" i="332"/>
  <c r="G426" i="332"/>
  <c r="G425" i="332"/>
  <c r="G424" i="332"/>
  <c r="G423" i="332"/>
  <c r="G422" i="332"/>
  <c r="G421" i="332"/>
  <c r="G420" i="332"/>
  <c r="G419" i="332"/>
  <c r="G418" i="332"/>
  <c r="G417" i="332"/>
  <c r="G416" i="332"/>
  <c r="G415" i="332"/>
  <c r="G414" i="332"/>
  <c r="G413" i="332"/>
  <c r="G412" i="332"/>
  <c r="G411" i="332"/>
  <c r="G410" i="332"/>
  <c r="G409" i="332"/>
  <c r="F38" i="332"/>
  <c r="F40" i="332"/>
  <c r="F42" i="332"/>
  <c r="F45" i="332"/>
  <c r="F46" i="332"/>
  <c r="F48" i="332"/>
  <c r="F50" i="332"/>
  <c r="F52" i="332"/>
  <c r="F54" i="332"/>
  <c r="F56" i="332"/>
  <c r="F58" i="332"/>
  <c r="F60" i="332"/>
  <c r="F62" i="332"/>
  <c r="F64" i="332"/>
  <c r="F66" i="332"/>
  <c r="F68" i="332"/>
  <c r="F70" i="332"/>
  <c r="F72" i="332"/>
  <c r="F74" i="332"/>
  <c r="F76" i="332"/>
  <c r="F79" i="332"/>
  <c r="F81" i="332"/>
  <c r="F83" i="332"/>
  <c r="C3" i="332"/>
  <c r="E510" i="332"/>
  <c r="E509" i="332"/>
  <c r="E508" i="332"/>
  <c r="E507" i="332"/>
  <c r="E506" i="332"/>
  <c r="E505" i="332"/>
  <c r="E504" i="332"/>
  <c r="E503" i="332"/>
  <c r="E502" i="332"/>
  <c r="E501" i="332"/>
  <c r="E500" i="332"/>
  <c r="E499" i="332"/>
  <c r="E498" i="332"/>
  <c r="E497" i="332"/>
  <c r="E496" i="332"/>
  <c r="E495" i="332"/>
  <c r="E494" i="332"/>
  <c r="E493" i="332"/>
  <c r="E492" i="332"/>
  <c r="E491" i="332"/>
  <c r="E490" i="332"/>
  <c r="E489" i="332"/>
  <c r="E488" i="332"/>
  <c r="E487" i="332"/>
  <c r="E486" i="332"/>
  <c r="E485" i="332"/>
  <c r="E484" i="332"/>
  <c r="E483" i="332"/>
  <c r="E482" i="332"/>
  <c r="E481" i="332"/>
  <c r="E480" i="332"/>
  <c r="E479" i="332"/>
  <c r="E374" i="332"/>
  <c r="E373" i="332"/>
  <c r="E372" i="332"/>
  <c r="E371" i="332"/>
  <c r="E370" i="332"/>
  <c r="E369" i="332"/>
  <c r="E368" i="332"/>
  <c r="E367" i="332"/>
  <c r="E366" i="332"/>
  <c r="E365" i="332"/>
  <c r="E364" i="332"/>
  <c r="E363" i="332"/>
  <c r="E362" i="332"/>
  <c r="E361" i="332"/>
  <c r="E360" i="332"/>
  <c r="E359" i="332"/>
  <c r="E358" i="332"/>
  <c r="E357" i="332"/>
  <c r="E356" i="332"/>
  <c r="E355" i="332"/>
  <c r="E354" i="332"/>
  <c r="E353" i="332"/>
  <c r="E352" i="332"/>
  <c r="E351" i="332"/>
  <c r="E350" i="332"/>
  <c r="E349" i="332"/>
  <c r="E348" i="332"/>
  <c r="E347" i="332"/>
  <c r="E346" i="332"/>
  <c r="E345" i="332"/>
  <c r="E344" i="332"/>
  <c r="E343" i="332"/>
  <c r="E237" i="332"/>
  <c r="E236" i="332"/>
  <c r="E235" i="332"/>
  <c r="E234" i="332"/>
  <c r="E233" i="332"/>
  <c r="E232" i="332"/>
  <c r="E231" i="332"/>
  <c r="E230" i="332"/>
  <c r="E229" i="332"/>
  <c r="E228" i="332"/>
  <c r="E227" i="332"/>
  <c r="E226" i="332"/>
  <c r="E225" i="332"/>
  <c r="E224" i="332"/>
  <c r="E223" i="332"/>
  <c r="E222" i="332"/>
  <c r="E221" i="332"/>
  <c r="E220" i="332"/>
  <c r="E219" i="332"/>
  <c r="E218" i="332"/>
  <c r="E217" i="332"/>
  <c r="E216" i="332"/>
  <c r="E215" i="332"/>
  <c r="E214" i="332"/>
  <c r="E213" i="332"/>
  <c r="E212" i="332"/>
  <c r="E211" i="332"/>
  <c r="E210" i="332"/>
  <c r="E209" i="332"/>
  <c r="E208" i="332"/>
  <c r="E207" i="332"/>
  <c r="E206" i="332"/>
  <c r="E576" i="332"/>
  <c r="E575" i="332"/>
  <c r="E574" i="332"/>
  <c r="E573" i="332"/>
  <c r="E572" i="332"/>
  <c r="E571" i="332"/>
  <c r="E570" i="332"/>
  <c r="E569" i="332"/>
  <c r="E568" i="332"/>
  <c r="E567" i="332"/>
  <c r="E566" i="332"/>
  <c r="E565" i="332"/>
  <c r="E564" i="332"/>
  <c r="E563" i="332"/>
  <c r="E562" i="332"/>
  <c r="E561" i="332"/>
  <c r="E560" i="332"/>
  <c r="E559" i="332"/>
  <c r="E558" i="332"/>
  <c r="E557" i="332"/>
  <c r="E556" i="332"/>
  <c r="E555" i="332"/>
  <c r="E554" i="332"/>
  <c r="E553" i="332"/>
  <c r="E552" i="332"/>
  <c r="E551" i="332"/>
  <c r="E550" i="332"/>
  <c r="E549" i="332"/>
  <c r="E548" i="332"/>
  <c r="E547" i="332"/>
  <c r="E546" i="332"/>
  <c r="E545" i="332"/>
  <c r="E440" i="332"/>
  <c r="E439" i="332"/>
  <c r="E438" i="332"/>
  <c r="E437" i="332"/>
  <c r="E436" i="332"/>
  <c r="E435" i="332"/>
  <c r="E434" i="332"/>
  <c r="E433" i="332"/>
  <c r="E432" i="332"/>
  <c r="E431" i="332"/>
  <c r="E430" i="332"/>
  <c r="E429" i="332"/>
  <c r="E428" i="332"/>
  <c r="E427" i="332"/>
  <c r="E426" i="332"/>
  <c r="E425" i="332"/>
  <c r="E424" i="332"/>
  <c r="E423" i="332"/>
  <c r="E422" i="332"/>
  <c r="E421" i="332"/>
  <c r="E420" i="332"/>
  <c r="E419" i="332"/>
  <c r="E418" i="332"/>
  <c r="E417" i="332"/>
  <c r="E416" i="332"/>
  <c r="E415" i="332"/>
  <c r="E414" i="332"/>
  <c r="E413" i="332"/>
  <c r="E412" i="332"/>
  <c r="E411" i="332"/>
  <c r="E410" i="332"/>
  <c r="E409" i="332"/>
  <c r="E303" i="332"/>
  <c r="E302" i="332"/>
  <c r="E301" i="332"/>
  <c r="E300" i="332"/>
  <c r="E299" i="332"/>
  <c r="E298" i="332"/>
  <c r="E297" i="332"/>
  <c r="E296" i="332"/>
  <c r="E295" i="332"/>
  <c r="E294" i="332"/>
  <c r="E293" i="332"/>
  <c r="E292" i="332"/>
  <c r="E291" i="332"/>
  <c r="E290" i="332"/>
  <c r="E289" i="332"/>
  <c r="E288" i="332"/>
  <c r="E287" i="332"/>
  <c r="E286" i="332"/>
  <c r="E285" i="332"/>
  <c r="E284" i="332"/>
  <c r="E283" i="332"/>
  <c r="E282" i="332"/>
  <c r="E281" i="332"/>
  <c r="E280" i="332"/>
  <c r="E279" i="332"/>
  <c r="E278" i="332"/>
  <c r="E277" i="332"/>
  <c r="E276" i="332"/>
  <c r="E275" i="332"/>
  <c r="E274" i="332"/>
  <c r="E273" i="332"/>
  <c r="E272" i="332"/>
  <c r="E167" i="332"/>
  <c r="E166" i="332"/>
  <c r="E165" i="332"/>
  <c r="E164" i="332"/>
  <c r="E163" i="332"/>
  <c r="E162" i="332"/>
  <c r="E161" i="332"/>
  <c r="E160" i="332"/>
  <c r="E159" i="332"/>
  <c r="E158" i="332"/>
  <c r="E157" i="332"/>
  <c r="E156" i="332"/>
  <c r="E155" i="332"/>
  <c r="E154" i="332"/>
  <c r="E153" i="332"/>
  <c r="E152" i="332"/>
  <c r="E151" i="332"/>
  <c r="E150" i="332"/>
  <c r="E149" i="332"/>
  <c r="E148" i="332"/>
  <c r="E147" i="332"/>
  <c r="E146" i="332"/>
  <c r="E145" i="332"/>
  <c r="E144" i="332"/>
  <c r="E143" i="332"/>
  <c r="E142" i="332"/>
  <c r="E141" i="332"/>
  <c r="E140" i="332"/>
  <c r="E139" i="332"/>
  <c r="E138" i="332"/>
  <c r="E137" i="332"/>
  <c r="E136" i="332"/>
  <c r="E13" i="332"/>
  <c r="E14" i="332"/>
  <c r="E15" i="332"/>
  <c r="E16" i="332"/>
  <c r="E18" i="332"/>
  <c r="E19" i="332"/>
  <c r="E20" i="332"/>
  <c r="E21" i="332"/>
  <c r="E23" i="332"/>
  <c r="E24" i="332"/>
  <c r="E25" i="332"/>
  <c r="E26" i="332"/>
  <c r="E28" i="332"/>
  <c r="E29" i="332"/>
  <c r="E30" i="332"/>
  <c r="E31" i="332"/>
  <c r="E37" i="332"/>
  <c r="G37" i="332"/>
  <c r="E38" i="332"/>
  <c r="G38" i="332"/>
  <c r="E39" i="332"/>
  <c r="G39" i="332"/>
  <c r="E40" i="332"/>
  <c r="G40" i="332"/>
  <c r="E41" i="332"/>
  <c r="G41" i="332"/>
  <c r="E42" i="332"/>
  <c r="G42" i="332"/>
  <c r="E43" i="332"/>
  <c r="G43" i="332"/>
  <c r="E44" i="332"/>
  <c r="G44" i="332"/>
  <c r="E45" i="332"/>
  <c r="G45" i="332"/>
  <c r="E46" i="332"/>
  <c r="G46" i="332"/>
  <c r="E47" i="332"/>
  <c r="G47" i="332"/>
  <c r="E48" i="332"/>
  <c r="G48" i="332"/>
  <c r="E49" i="332"/>
  <c r="G49" i="332"/>
  <c r="E50" i="332"/>
  <c r="G50" i="332"/>
  <c r="E51" i="332"/>
  <c r="G51" i="332"/>
  <c r="E52" i="332"/>
  <c r="G52" i="332"/>
  <c r="E53" i="332"/>
  <c r="G53" i="332"/>
  <c r="E54" i="332"/>
  <c r="G54" i="332"/>
  <c r="E55" i="332"/>
  <c r="G55" i="332"/>
  <c r="E56" i="332"/>
  <c r="G56" i="332"/>
  <c r="E57" i="332"/>
  <c r="G57" i="332"/>
  <c r="E58" i="332"/>
  <c r="G58" i="332"/>
  <c r="E59" i="332"/>
  <c r="G59" i="332"/>
  <c r="E60" i="332"/>
  <c r="G60" i="332"/>
  <c r="E61" i="332"/>
  <c r="G61" i="332"/>
  <c r="E62" i="332"/>
  <c r="G62" i="332"/>
  <c r="E63" i="332"/>
  <c r="G63" i="332"/>
  <c r="E64" i="332"/>
  <c r="G64" i="332"/>
  <c r="E65" i="332"/>
  <c r="G65" i="332"/>
  <c r="E66" i="332"/>
  <c r="G66" i="332"/>
  <c r="E67" i="332"/>
  <c r="G67" i="332"/>
  <c r="G68" i="332"/>
  <c r="E70" i="332"/>
  <c r="G70" i="332"/>
  <c r="E71" i="332"/>
  <c r="G71" i="332"/>
  <c r="E72" i="332"/>
  <c r="G72" i="332"/>
  <c r="E73" i="332"/>
  <c r="G73" i="332"/>
  <c r="E74" i="332"/>
  <c r="G74" i="332"/>
  <c r="E75" i="332"/>
  <c r="G75" i="332"/>
  <c r="E76" i="332"/>
  <c r="G76" i="332"/>
  <c r="E77" i="332"/>
  <c r="G77" i="332"/>
  <c r="E78" i="332"/>
  <c r="G78" i="332"/>
  <c r="E79" i="332"/>
  <c r="G79" i="332"/>
  <c r="E80" i="332"/>
  <c r="G80" i="332"/>
  <c r="E81" i="332"/>
  <c r="G81" i="332"/>
  <c r="E82" i="332"/>
  <c r="G82" i="332"/>
  <c r="E83" i="332"/>
  <c r="G83" i="332"/>
  <c r="E84" i="332"/>
  <c r="G84" i="332"/>
  <c r="E85" i="332"/>
  <c r="G85" i="332"/>
  <c r="E86" i="332"/>
  <c r="G86" i="332"/>
  <c r="E87" i="332"/>
  <c r="G87" i="332"/>
  <c r="E88" i="332"/>
  <c r="G88" i="332"/>
  <c r="E89" i="332"/>
  <c r="G89" i="332"/>
  <c r="E90" i="332"/>
  <c r="G90" i="332"/>
  <c r="E91" i="332"/>
  <c r="G91" i="332"/>
  <c r="E92" i="332"/>
  <c r="G92" i="332"/>
  <c r="E93" i="332"/>
  <c r="G93" i="332"/>
  <c r="E94" i="332"/>
  <c r="G94" i="332"/>
  <c r="E95" i="332"/>
  <c r="G95" i="332"/>
  <c r="E96" i="332"/>
  <c r="G96" i="332"/>
  <c r="E97" i="332"/>
  <c r="G97" i="332"/>
  <c r="E98" i="332"/>
  <c r="G98" i="332"/>
  <c r="E99" i="332"/>
  <c r="G99" i="332"/>
  <c r="E100" i="332"/>
  <c r="G100" i="332"/>
  <c r="E101" i="332"/>
  <c r="G101" i="332"/>
  <c r="E103" i="332"/>
  <c r="G103" i="332"/>
  <c r="E104" i="332"/>
  <c r="G104" i="332"/>
  <c r="E105" i="332"/>
  <c r="G105" i="332"/>
  <c r="E106" i="332"/>
  <c r="G106" i="332"/>
  <c r="E107" i="332"/>
  <c r="G107" i="332"/>
  <c r="E108" i="332"/>
  <c r="G108" i="332"/>
  <c r="E109" i="332"/>
  <c r="G109" i="332"/>
  <c r="E110" i="332"/>
  <c r="G110" i="332"/>
  <c r="E111" i="332"/>
  <c r="G111" i="332"/>
  <c r="E112" i="332"/>
  <c r="G112" i="332"/>
  <c r="E113" i="332"/>
  <c r="G113" i="332"/>
  <c r="E114" i="332"/>
  <c r="G114" i="332"/>
  <c r="E115" i="332"/>
  <c r="G115" i="332"/>
  <c r="E116" i="332"/>
  <c r="G116" i="332"/>
  <c r="E117" i="332"/>
  <c r="G117" i="332"/>
  <c r="E118" i="332"/>
  <c r="G118" i="332"/>
  <c r="E119" i="332"/>
  <c r="G119" i="332"/>
  <c r="E120" i="332"/>
  <c r="E477" i="332"/>
  <c r="E476" i="332"/>
  <c r="E475" i="332"/>
  <c r="E474" i="332"/>
  <c r="E473" i="332"/>
  <c r="E472" i="332"/>
  <c r="E471" i="332"/>
  <c r="E470" i="332"/>
  <c r="E469" i="332"/>
  <c r="E468" i="332"/>
  <c r="E467" i="332"/>
  <c r="E466" i="332"/>
  <c r="E465" i="332"/>
  <c r="E464" i="332"/>
  <c r="E463" i="332"/>
  <c r="E462" i="332"/>
  <c r="E461" i="332"/>
  <c r="E460" i="332"/>
  <c r="E459" i="332"/>
  <c r="E458" i="332"/>
  <c r="E457" i="332"/>
  <c r="E456" i="332"/>
  <c r="E455" i="332"/>
  <c r="E454" i="332"/>
  <c r="E453" i="332"/>
  <c r="E452" i="332"/>
  <c r="E451" i="332"/>
  <c r="E450" i="332"/>
  <c r="E449" i="332"/>
  <c r="E448" i="332"/>
  <c r="E447" i="332"/>
  <c r="E446" i="332"/>
  <c r="E341" i="332"/>
  <c r="E340" i="332"/>
  <c r="E339" i="332"/>
  <c r="E338" i="332"/>
  <c r="E337" i="332"/>
  <c r="E336" i="332"/>
  <c r="E335" i="332"/>
  <c r="E334" i="332"/>
  <c r="E333" i="332"/>
  <c r="E332" i="332"/>
  <c r="E331" i="332"/>
  <c r="E330" i="332"/>
  <c r="E329" i="332"/>
  <c r="E328" i="332"/>
  <c r="E327" i="332"/>
  <c r="E326" i="332"/>
  <c r="E325" i="332"/>
  <c r="E324" i="332"/>
  <c r="E323" i="332"/>
  <c r="E322" i="332"/>
  <c r="E321" i="332"/>
  <c r="E320" i="332"/>
  <c r="E319" i="332"/>
  <c r="E318" i="332"/>
  <c r="E317" i="332"/>
  <c r="E316" i="332"/>
  <c r="E315" i="332"/>
  <c r="E314" i="332"/>
  <c r="E313" i="332"/>
  <c r="E312" i="332"/>
  <c r="E311" i="332"/>
  <c r="E310" i="332"/>
  <c r="E204" i="332"/>
  <c r="E203" i="332"/>
  <c r="E202" i="332"/>
  <c r="E201" i="332"/>
  <c r="E200" i="332"/>
  <c r="E199" i="332"/>
  <c r="E198" i="332"/>
  <c r="E197" i="332"/>
  <c r="E196" i="332"/>
  <c r="E195" i="332"/>
  <c r="E194" i="332"/>
  <c r="E193" i="332"/>
  <c r="E192" i="332"/>
  <c r="E191" i="332"/>
  <c r="E190" i="332"/>
  <c r="E189" i="332"/>
  <c r="E188" i="332"/>
  <c r="E187" i="332"/>
  <c r="E186" i="332"/>
  <c r="E185" i="332"/>
  <c r="E184" i="332"/>
  <c r="E183" i="332"/>
  <c r="E182" i="332"/>
  <c r="E181" i="332"/>
  <c r="E180" i="332"/>
  <c r="E179" i="332"/>
  <c r="E178" i="332"/>
  <c r="E177" i="332"/>
  <c r="E176" i="332"/>
  <c r="E175" i="332"/>
  <c r="E174" i="332"/>
  <c r="E173" i="332"/>
  <c r="G341" i="332"/>
  <c r="G340" i="332"/>
  <c r="G339" i="332"/>
  <c r="G338" i="332"/>
  <c r="G337" i="332"/>
  <c r="G336" i="332"/>
  <c r="G335" i="332"/>
  <c r="G334" i="332"/>
  <c r="G333" i="332"/>
  <c r="G332" i="332"/>
  <c r="G331" i="332"/>
  <c r="G330" i="332"/>
  <c r="G329" i="332"/>
  <c r="G328" i="332"/>
  <c r="G327" i="332"/>
  <c r="G326" i="332"/>
  <c r="G325" i="332"/>
  <c r="G324" i="332"/>
  <c r="G323" i="332"/>
  <c r="G322" i="332"/>
  <c r="G321" i="332"/>
  <c r="G320" i="332"/>
  <c r="G319" i="332"/>
  <c r="G318" i="332"/>
  <c r="G317" i="332"/>
  <c r="G316" i="332"/>
  <c r="G315" i="332"/>
  <c r="G314" i="332"/>
  <c r="G313" i="332"/>
  <c r="G312" i="332"/>
  <c r="G311" i="332"/>
  <c r="G310" i="332"/>
  <c r="G237" i="332"/>
  <c r="G236" i="332"/>
  <c r="G235" i="332"/>
  <c r="G234" i="332"/>
  <c r="G233" i="332"/>
  <c r="G232" i="332"/>
  <c r="G231" i="332"/>
  <c r="G230" i="332"/>
  <c r="G229" i="332"/>
  <c r="G228" i="332"/>
  <c r="G227" i="332"/>
  <c r="G226" i="332"/>
  <c r="G225" i="332"/>
  <c r="G224" i="332"/>
  <c r="G223" i="332"/>
  <c r="G222" i="332"/>
  <c r="G221" i="332"/>
  <c r="G220" i="332"/>
  <c r="G219" i="332"/>
  <c r="G218" i="332"/>
  <c r="G217" i="332"/>
  <c r="G216" i="332"/>
  <c r="G215" i="332"/>
  <c r="G214" i="332"/>
  <c r="G213" i="332"/>
  <c r="G212" i="332"/>
  <c r="G211" i="332"/>
  <c r="G210" i="332"/>
  <c r="G209" i="332"/>
  <c r="G208" i="332"/>
  <c r="G207" i="332"/>
  <c r="G206" i="332"/>
  <c r="G270" i="332"/>
  <c r="G269" i="332"/>
  <c r="G268" i="332"/>
  <c r="G267" i="332"/>
  <c r="G266" i="332"/>
  <c r="G265" i="332"/>
  <c r="G264" i="332"/>
  <c r="G263" i="332"/>
  <c r="G262" i="332"/>
  <c r="G261" i="332"/>
  <c r="G260" i="332"/>
  <c r="G259" i="332"/>
  <c r="G258" i="332"/>
  <c r="G257" i="332"/>
  <c r="G256" i="332"/>
  <c r="G255" i="332"/>
  <c r="G254" i="332"/>
  <c r="G253" i="332"/>
  <c r="G252" i="332"/>
  <c r="G251" i="332"/>
  <c r="G250" i="332"/>
  <c r="G249" i="332"/>
  <c r="G248" i="332"/>
  <c r="G247" i="332"/>
  <c r="G246" i="332"/>
  <c r="G245" i="332"/>
  <c r="G244" i="332"/>
  <c r="G243" i="332"/>
  <c r="G242" i="332"/>
  <c r="G241" i="332"/>
  <c r="G240" i="332"/>
  <c r="G239" i="332"/>
  <c r="G303" i="332"/>
  <c r="G302" i="332"/>
  <c r="G301" i="332"/>
  <c r="G300" i="332"/>
  <c r="G299" i="332"/>
  <c r="G298" i="332"/>
  <c r="G297" i="332"/>
  <c r="G296" i="332"/>
  <c r="G295" i="332"/>
  <c r="G294" i="332"/>
  <c r="G293" i="332"/>
  <c r="G292" i="332"/>
  <c r="G291" i="332"/>
  <c r="G290" i="332"/>
  <c r="G289" i="332"/>
  <c r="G288" i="332"/>
  <c r="G287" i="332"/>
  <c r="G286" i="332"/>
  <c r="G285" i="332"/>
  <c r="G284" i="332"/>
  <c r="G283" i="332"/>
  <c r="G282" i="332"/>
  <c r="G281" i="332"/>
  <c r="G280" i="332"/>
  <c r="G279" i="332"/>
  <c r="G278" i="332"/>
  <c r="G277" i="332"/>
  <c r="G276" i="332"/>
  <c r="G275" i="332"/>
  <c r="G274" i="332"/>
  <c r="G273" i="332"/>
  <c r="G272" i="332"/>
  <c r="F37" i="332"/>
  <c r="F39" i="332"/>
  <c r="F41" i="332"/>
  <c r="F43" i="332"/>
  <c r="F44" i="332"/>
  <c r="F47" i="332"/>
  <c r="F49" i="332"/>
  <c r="F51" i="332"/>
  <c r="F53" i="332"/>
  <c r="F55" i="332"/>
  <c r="F57" i="332"/>
  <c r="F59" i="332"/>
  <c r="F61" i="332"/>
  <c r="F63" i="332"/>
  <c r="F65" i="332"/>
  <c r="F67" i="332"/>
  <c r="F71" i="332"/>
  <c r="F73" i="332"/>
  <c r="F75" i="332"/>
  <c r="F77" i="332"/>
  <c r="F78" i="332"/>
  <c r="F80" i="332"/>
  <c r="F82" i="332"/>
  <c r="F84" i="332"/>
  <c r="F85" i="332"/>
  <c r="F86" i="332"/>
  <c r="F87" i="332"/>
  <c r="F88" i="332"/>
  <c r="F89" i="332"/>
  <c r="F90" i="332"/>
  <c r="F91" i="332"/>
  <c r="F92" i="332"/>
  <c r="F93" i="332"/>
  <c r="F94" i="332"/>
  <c r="F95" i="332"/>
  <c r="F96" i="332"/>
  <c r="F97" i="332"/>
  <c r="F98" i="332"/>
  <c r="F99" i="332"/>
  <c r="F100" i="332"/>
  <c r="F101" i="332"/>
  <c r="F103" i="332"/>
  <c r="F104" i="332"/>
  <c r="F105" i="332"/>
  <c r="F106" i="332"/>
  <c r="F107" i="332"/>
  <c r="F108" i="332"/>
  <c r="F109" i="332"/>
  <c r="F110" i="332"/>
  <c r="F111" i="332"/>
  <c r="F112" i="332"/>
  <c r="F113" i="332"/>
  <c r="F114" i="332"/>
  <c r="F115" i="332"/>
  <c r="F116" i="332"/>
  <c r="F117" i="332"/>
  <c r="F118" i="332"/>
  <c r="F119" i="332"/>
  <c r="F120" i="332"/>
  <c r="F121" i="332"/>
  <c r="F122" i="332"/>
  <c r="F123" i="332"/>
  <c r="F124" i="332"/>
  <c r="F125" i="332"/>
  <c r="F126" i="332"/>
  <c r="F127" i="332"/>
  <c r="F128" i="332"/>
  <c r="F129" i="332"/>
  <c r="F130" i="332"/>
  <c r="F131" i="332"/>
  <c r="F132" i="332"/>
  <c r="F133" i="332"/>
  <c r="F134" i="332"/>
  <c r="F136" i="332"/>
  <c r="F137" i="332"/>
  <c r="F138" i="332"/>
  <c r="F139" i="332"/>
  <c r="F140" i="332"/>
  <c r="F141" i="332"/>
  <c r="F142" i="332"/>
  <c r="F143" i="332"/>
  <c r="F144" i="332"/>
  <c r="F145" i="332"/>
  <c r="F146" i="332"/>
  <c r="F147" i="332"/>
  <c r="F148" i="332"/>
  <c r="F149" i="332"/>
  <c r="F150" i="332"/>
  <c r="F151" i="332"/>
  <c r="F152" i="332"/>
  <c r="F153" i="332"/>
  <c r="F154" i="332"/>
  <c r="F155" i="332"/>
  <c r="F156" i="332"/>
  <c r="F157" i="332"/>
  <c r="H82" i="331" l="1"/>
  <c r="G82" i="331"/>
  <c r="F82" i="331"/>
  <c r="E82" i="331"/>
  <c r="D82" i="331"/>
  <c r="C82" i="331"/>
  <c r="H81" i="331"/>
  <c r="G81" i="331"/>
  <c r="F81" i="331"/>
  <c r="E81" i="331"/>
  <c r="D81" i="331"/>
  <c r="C81" i="331"/>
  <c r="H80" i="331"/>
  <c r="G80" i="331"/>
  <c r="F80" i="331"/>
  <c r="E80" i="331"/>
  <c r="D80" i="331"/>
  <c r="C80" i="331"/>
  <c r="H79" i="331"/>
  <c r="G79" i="331"/>
  <c r="F79" i="331"/>
  <c r="E79" i="331"/>
  <c r="D79" i="331"/>
  <c r="C79" i="331"/>
  <c r="H78" i="331"/>
  <c r="G78" i="331"/>
  <c r="F78" i="331"/>
  <c r="E78" i="331"/>
  <c r="D78" i="331"/>
  <c r="C78" i="331"/>
  <c r="H77" i="331"/>
  <c r="G77" i="331"/>
  <c r="F77" i="331"/>
  <c r="E77" i="331"/>
  <c r="D77" i="331"/>
  <c r="C77" i="331"/>
  <c r="H76" i="331"/>
  <c r="G76" i="331"/>
  <c r="F76" i="331"/>
  <c r="E76" i="331"/>
  <c r="D76" i="331"/>
  <c r="C76" i="331"/>
  <c r="H75" i="331"/>
  <c r="G75" i="331"/>
  <c r="F75" i="331"/>
  <c r="E75" i="331"/>
  <c r="D75" i="331"/>
  <c r="C75" i="331"/>
  <c r="H74" i="331"/>
  <c r="G74" i="331"/>
  <c r="F74" i="331"/>
  <c r="E74" i="331"/>
  <c r="D74" i="331"/>
  <c r="C74" i="331"/>
  <c r="H73" i="331"/>
  <c r="G73" i="331"/>
  <c r="F73" i="331"/>
  <c r="E73" i="331"/>
  <c r="D73" i="331"/>
  <c r="C73" i="331"/>
  <c r="H72" i="331"/>
  <c r="G72" i="331"/>
  <c r="F72" i="331"/>
  <c r="E72" i="331"/>
  <c r="D72" i="331"/>
  <c r="C72" i="331"/>
  <c r="H71" i="331"/>
  <c r="G71" i="331"/>
  <c r="F71" i="331"/>
  <c r="E71" i="331"/>
  <c r="D71" i="331"/>
  <c r="C71" i="331"/>
  <c r="H70" i="331"/>
  <c r="G70" i="331"/>
  <c r="F70" i="331"/>
  <c r="E70" i="331"/>
  <c r="D70" i="331"/>
  <c r="C70" i="331"/>
  <c r="H69" i="331"/>
  <c r="G69" i="331"/>
  <c r="F69" i="331"/>
  <c r="E69" i="331"/>
  <c r="D69" i="331"/>
  <c r="C69" i="331"/>
  <c r="H68" i="331"/>
  <c r="G68" i="331"/>
  <c r="F68" i="331"/>
  <c r="E68" i="331"/>
  <c r="D68" i="331"/>
  <c r="C68" i="331"/>
  <c r="H62" i="331"/>
  <c r="G62" i="331"/>
  <c r="F62" i="331"/>
  <c r="E62" i="331"/>
  <c r="D62" i="331"/>
  <c r="C62" i="331"/>
  <c r="H61" i="331"/>
  <c r="G61" i="331"/>
  <c r="F61" i="331"/>
  <c r="E61" i="331"/>
  <c r="D61" i="331"/>
  <c r="C61" i="331"/>
  <c r="H60" i="331"/>
  <c r="G60" i="331"/>
  <c r="F60" i="331"/>
  <c r="E60" i="331"/>
  <c r="D60" i="331"/>
  <c r="C60" i="331"/>
  <c r="H59" i="331"/>
  <c r="G59" i="331"/>
  <c r="F59" i="331"/>
  <c r="E59" i="331"/>
  <c r="D59" i="331"/>
  <c r="C59" i="331"/>
  <c r="H58" i="331"/>
  <c r="G58" i="331"/>
  <c r="F58" i="331"/>
  <c r="E58" i="331"/>
  <c r="D58" i="331"/>
  <c r="C58" i="331"/>
  <c r="H57" i="331"/>
  <c r="G57" i="331"/>
  <c r="F57" i="331"/>
  <c r="E57" i="331"/>
  <c r="D57" i="331"/>
  <c r="C57" i="331"/>
  <c r="H56" i="331"/>
  <c r="G56" i="331"/>
  <c r="F56" i="331"/>
  <c r="E56" i="331"/>
  <c r="D56" i="331"/>
  <c r="C56" i="331"/>
  <c r="H55" i="331"/>
  <c r="G55" i="331"/>
  <c r="F55" i="331"/>
  <c r="E55" i="331"/>
  <c r="D55" i="331"/>
  <c r="C55" i="331"/>
  <c r="H54" i="331"/>
  <c r="G54" i="331"/>
  <c r="F54" i="331"/>
  <c r="E54" i="331"/>
  <c r="D54" i="331"/>
  <c r="C54" i="331"/>
  <c r="H53" i="331"/>
  <c r="G53" i="331"/>
  <c r="F53" i="331"/>
  <c r="E53" i="331"/>
  <c r="D53" i="331"/>
  <c r="C53" i="331"/>
  <c r="H52" i="331"/>
  <c r="G52" i="331"/>
  <c r="F52" i="331"/>
  <c r="E52" i="331"/>
  <c r="D52" i="331"/>
  <c r="C52" i="331"/>
  <c r="H51" i="331"/>
  <c r="G51" i="331"/>
  <c r="F51" i="331"/>
  <c r="E51" i="331"/>
  <c r="D51" i="331"/>
  <c r="C51" i="331"/>
  <c r="H50" i="331"/>
  <c r="G50" i="331"/>
  <c r="F50" i="331"/>
  <c r="E50" i="331"/>
  <c r="D50" i="331"/>
  <c r="C50" i="331"/>
  <c r="H49" i="331"/>
  <c r="G49" i="331"/>
  <c r="F49" i="331"/>
  <c r="E49" i="331"/>
  <c r="D49" i="331"/>
  <c r="C49" i="331"/>
  <c r="H48" i="331"/>
  <c r="G48" i="331"/>
  <c r="F48" i="331"/>
  <c r="E48" i="331"/>
  <c r="D48" i="331"/>
  <c r="C48" i="331"/>
  <c r="H42" i="331"/>
  <c r="G42" i="331"/>
  <c r="F42" i="331"/>
  <c r="E42" i="331"/>
  <c r="D42" i="331"/>
  <c r="C42" i="331"/>
  <c r="H41" i="331"/>
  <c r="G41" i="331"/>
  <c r="F41" i="331"/>
  <c r="E41" i="331"/>
  <c r="D41" i="331"/>
  <c r="C41" i="331"/>
  <c r="H40" i="331"/>
  <c r="G40" i="331"/>
  <c r="F40" i="331"/>
  <c r="E40" i="331"/>
  <c r="D40" i="331"/>
  <c r="C40" i="331"/>
  <c r="H39" i="331"/>
  <c r="G39" i="331"/>
  <c r="F39" i="331"/>
  <c r="E39" i="331"/>
  <c r="D39" i="331"/>
  <c r="C39" i="331"/>
  <c r="H38" i="331"/>
  <c r="G38" i="331"/>
  <c r="F38" i="331"/>
  <c r="E38" i="331"/>
  <c r="D38" i="331"/>
  <c r="C38" i="331"/>
  <c r="H37" i="331"/>
  <c r="G37" i="331"/>
  <c r="F37" i="331"/>
  <c r="E37" i="331"/>
  <c r="D37" i="331"/>
  <c r="C37" i="331"/>
  <c r="H36" i="331"/>
  <c r="G36" i="331"/>
  <c r="F36" i="331"/>
  <c r="E36" i="331"/>
  <c r="D36" i="331"/>
  <c r="C36" i="331"/>
  <c r="H35" i="331"/>
  <c r="G35" i="331"/>
  <c r="F35" i="331"/>
  <c r="E35" i="331"/>
  <c r="D35" i="331"/>
  <c r="C35" i="331"/>
  <c r="H34" i="331"/>
  <c r="G34" i="331"/>
  <c r="F34" i="331"/>
  <c r="E34" i="331"/>
  <c r="D34" i="331"/>
  <c r="C34" i="331"/>
  <c r="H33" i="331"/>
  <c r="G33" i="331"/>
  <c r="F33" i="331"/>
  <c r="E33" i="331"/>
  <c r="D33" i="331"/>
  <c r="C33" i="331"/>
  <c r="H32" i="331"/>
  <c r="G32" i="331"/>
  <c r="F32" i="331"/>
  <c r="E32" i="331"/>
  <c r="D32" i="331"/>
  <c r="C32" i="331"/>
  <c r="H31" i="331"/>
  <c r="G31" i="331"/>
  <c r="F31" i="331"/>
  <c r="E31" i="331"/>
  <c r="D31" i="331"/>
  <c r="C31" i="331"/>
  <c r="H30" i="331"/>
  <c r="G30" i="331"/>
  <c r="F30" i="331"/>
  <c r="E30" i="331"/>
  <c r="D30" i="331"/>
  <c r="C30" i="331"/>
  <c r="H29" i="331"/>
  <c r="G29" i="331"/>
  <c r="F29" i="331"/>
  <c r="E29" i="331"/>
  <c r="D29" i="331"/>
  <c r="C29" i="331"/>
  <c r="H28" i="331"/>
  <c r="G28" i="331"/>
  <c r="F28" i="331"/>
  <c r="E28" i="331"/>
  <c r="D28" i="331"/>
  <c r="C28" i="331"/>
  <c r="T22" i="331"/>
  <c r="S22" i="331"/>
  <c r="R22" i="331"/>
  <c r="Q22" i="331"/>
  <c r="P22" i="331"/>
  <c r="O22" i="331"/>
  <c r="N22" i="331"/>
  <c r="M22" i="331"/>
  <c r="L22" i="331"/>
  <c r="K22" i="331"/>
  <c r="J22" i="331"/>
  <c r="I22" i="331"/>
  <c r="H22" i="331"/>
  <c r="G22" i="331"/>
  <c r="F22" i="331"/>
  <c r="E22" i="331"/>
  <c r="D22" i="331"/>
  <c r="C22" i="331"/>
  <c r="T21" i="331"/>
  <c r="S21" i="331"/>
  <c r="R21" i="331"/>
  <c r="Q21" i="331"/>
  <c r="P21" i="331"/>
  <c r="O21" i="331"/>
  <c r="N21" i="331"/>
  <c r="M21" i="331"/>
  <c r="L21" i="331"/>
  <c r="K21" i="331"/>
  <c r="J21" i="331"/>
  <c r="I21" i="331"/>
  <c r="H21" i="331"/>
  <c r="G21" i="331"/>
  <c r="F21" i="331"/>
  <c r="E21" i="331"/>
  <c r="D21" i="331"/>
  <c r="C21" i="331"/>
  <c r="T20" i="331"/>
  <c r="S20" i="331"/>
  <c r="R20" i="331"/>
  <c r="Q20" i="331"/>
  <c r="P20" i="331"/>
  <c r="O20" i="331"/>
  <c r="N20" i="331"/>
  <c r="M20" i="331"/>
  <c r="L20" i="331"/>
  <c r="K20" i="331"/>
  <c r="J20" i="331"/>
  <c r="I20" i="331"/>
  <c r="H20" i="331"/>
  <c r="G20" i="331"/>
  <c r="F20" i="331"/>
  <c r="E20" i="331"/>
  <c r="D20" i="331"/>
  <c r="C20" i="331"/>
  <c r="T19" i="331"/>
  <c r="S19" i="331"/>
  <c r="R19" i="331"/>
  <c r="Q19" i="331"/>
  <c r="P19" i="331"/>
  <c r="O19" i="331"/>
  <c r="N19" i="331"/>
  <c r="M19" i="331"/>
  <c r="L19" i="331"/>
  <c r="K19" i="331"/>
  <c r="J19" i="331"/>
  <c r="I19" i="331"/>
  <c r="H19" i="331"/>
  <c r="G19" i="331"/>
  <c r="F19" i="331"/>
  <c r="E19" i="331"/>
  <c r="D19" i="331"/>
  <c r="C19" i="331"/>
  <c r="T18" i="331"/>
  <c r="S18" i="331"/>
  <c r="R18" i="331"/>
  <c r="Q18" i="331"/>
  <c r="P18" i="331"/>
  <c r="O18" i="331"/>
  <c r="N18" i="331"/>
  <c r="M18" i="331"/>
  <c r="L18" i="331"/>
  <c r="K18" i="331"/>
  <c r="J18" i="331"/>
  <c r="I18" i="331"/>
  <c r="H18" i="331"/>
  <c r="G18" i="331"/>
  <c r="F18" i="331"/>
  <c r="E18" i="331"/>
  <c r="D18" i="331"/>
  <c r="C18" i="331"/>
  <c r="T17" i="331"/>
  <c r="S17" i="331"/>
  <c r="R17" i="331"/>
  <c r="Q17" i="331"/>
  <c r="P17" i="331"/>
  <c r="O17" i="331"/>
  <c r="N17" i="331"/>
  <c r="M17" i="331"/>
  <c r="L17" i="331"/>
  <c r="K17" i="331"/>
  <c r="J17" i="331"/>
  <c r="I17" i="331"/>
  <c r="H17" i="331"/>
  <c r="G17" i="331"/>
  <c r="F17" i="331"/>
  <c r="E17" i="331"/>
  <c r="D17" i="331"/>
  <c r="C17" i="331"/>
  <c r="T16" i="331"/>
  <c r="S16" i="331"/>
  <c r="R16" i="331"/>
  <c r="Q16" i="331"/>
  <c r="P16" i="331"/>
  <c r="O16" i="331"/>
  <c r="N16" i="331"/>
  <c r="M16" i="331"/>
  <c r="L16" i="331"/>
  <c r="K16" i="331"/>
  <c r="J16" i="331"/>
  <c r="I16" i="331"/>
  <c r="H16" i="331"/>
  <c r="G16" i="331"/>
  <c r="F16" i="331"/>
  <c r="E16" i="331"/>
  <c r="D16" i="331"/>
  <c r="C16" i="331"/>
  <c r="T15" i="331"/>
  <c r="S15" i="331"/>
  <c r="R15" i="331"/>
  <c r="Q15" i="331"/>
  <c r="P15" i="331"/>
  <c r="O15" i="331"/>
  <c r="N15" i="331"/>
  <c r="M15" i="331"/>
  <c r="L15" i="331"/>
  <c r="K15" i="331"/>
  <c r="J15" i="331"/>
  <c r="I15" i="331"/>
  <c r="H15" i="331"/>
  <c r="G15" i="331"/>
  <c r="F15" i="331"/>
  <c r="E15" i="331"/>
  <c r="D15" i="331"/>
  <c r="C15" i="331"/>
  <c r="T14" i="331"/>
  <c r="S14" i="331"/>
  <c r="R14" i="331"/>
  <c r="Q14" i="331"/>
  <c r="P14" i="331"/>
  <c r="O14" i="331"/>
  <c r="N14" i="331"/>
  <c r="M14" i="331"/>
  <c r="L14" i="331"/>
  <c r="K14" i="331"/>
  <c r="J14" i="331"/>
  <c r="I14" i="331"/>
  <c r="H14" i="331"/>
  <c r="G14" i="331"/>
  <c r="F14" i="331"/>
  <c r="E14" i="331"/>
  <c r="D14" i="331"/>
  <c r="C14" i="331"/>
  <c r="T13" i="331"/>
  <c r="S13" i="331"/>
  <c r="R13" i="331"/>
  <c r="Q13" i="331"/>
  <c r="P13" i="331"/>
  <c r="O13" i="331"/>
  <c r="N13" i="331"/>
  <c r="M13" i="331"/>
  <c r="L13" i="331"/>
  <c r="K13" i="331"/>
  <c r="J13" i="331"/>
  <c r="I13" i="331"/>
  <c r="H13" i="331"/>
  <c r="G13" i="331"/>
  <c r="F13" i="331"/>
  <c r="E13" i="331"/>
  <c r="D13" i="331"/>
  <c r="C13" i="331"/>
  <c r="T12" i="331"/>
  <c r="S12" i="331"/>
  <c r="R12" i="331"/>
  <c r="Q12" i="331"/>
  <c r="P12" i="331"/>
  <c r="O12" i="331"/>
  <c r="N12" i="331"/>
  <c r="M12" i="331"/>
  <c r="L12" i="331"/>
  <c r="K12" i="331"/>
  <c r="J12" i="331"/>
  <c r="I12" i="331"/>
  <c r="H12" i="331"/>
  <c r="G12" i="331"/>
  <c r="F12" i="331"/>
  <c r="E12" i="331"/>
  <c r="D12" i="331"/>
  <c r="C12" i="331"/>
  <c r="T11" i="331"/>
  <c r="S11" i="331"/>
  <c r="R11" i="331"/>
  <c r="Q11" i="331"/>
  <c r="P11" i="331"/>
  <c r="O11" i="331"/>
  <c r="N11" i="331"/>
  <c r="M11" i="331"/>
  <c r="L11" i="331"/>
  <c r="K11" i="331"/>
  <c r="J11" i="331"/>
  <c r="I11" i="331"/>
  <c r="H11" i="331"/>
  <c r="G11" i="331"/>
  <c r="F11" i="331"/>
  <c r="E11" i="331"/>
  <c r="D11" i="331"/>
  <c r="C11" i="331"/>
  <c r="T10" i="331"/>
  <c r="S10" i="331"/>
  <c r="R10" i="331"/>
  <c r="Q10" i="331"/>
  <c r="P10" i="331"/>
  <c r="O10" i="331"/>
  <c r="N10" i="331"/>
  <c r="M10" i="331"/>
  <c r="L10" i="331"/>
  <c r="K10" i="331"/>
  <c r="J10" i="331"/>
  <c r="I10" i="331"/>
  <c r="H10" i="331"/>
  <c r="G10" i="331"/>
  <c r="F10" i="331"/>
  <c r="E10" i="331"/>
  <c r="D10" i="331"/>
  <c r="C10" i="331"/>
  <c r="T9" i="331"/>
  <c r="S9" i="331"/>
  <c r="R9" i="331"/>
  <c r="Q9" i="331"/>
  <c r="P9" i="331"/>
  <c r="O9" i="331"/>
  <c r="N9" i="331"/>
  <c r="M9" i="331"/>
  <c r="L9" i="331"/>
  <c r="K9" i="331"/>
  <c r="J9" i="331"/>
  <c r="I9" i="331"/>
  <c r="H9" i="331"/>
  <c r="G9" i="331"/>
  <c r="F9" i="331"/>
  <c r="E9" i="331"/>
  <c r="D9" i="331"/>
  <c r="C9" i="331"/>
  <c r="T8" i="331"/>
  <c r="S8" i="331"/>
  <c r="R8" i="331"/>
  <c r="Q8" i="331"/>
  <c r="P8" i="331"/>
  <c r="O8" i="331"/>
  <c r="N8" i="331"/>
  <c r="M8" i="331"/>
  <c r="L8" i="331"/>
  <c r="K8" i="331"/>
  <c r="J8" i="331"/>
  <c r="I8" i="331"/>
  <c r="H8" i="331"/>
  <c r="G8" i="331"/>
  <c r="F8" i="331"/>
  <c r="E8" i="331"/>
  <c r="D8" i="331"/>
  <c r="C8" i="331"/>
  <c r="M80" i="327"/>
  <c r="L80" i="327"/>
  <c r="K80" i="327"/>
  <c r="J80" i="327"/>
  <c r="I80" i="327"/>
  <c r="H80" i="327"/>
  <c r="G80" i="327"/>
  <c r="F80" i="327"/>
  <c r="E80" i="327"/>
  <c r="D80" i="327"/>
  <c r="C80" i="327"/>
  <c r="M79" i="327"/>
  <c r="L79" i="327"/>
  <c r="K79" i="327"/>
  <c r="J79" i="327"/>
  <c r="I79" i="327"/>
  <c r="H79" i="327"/>
  <c r="G79" i="327"/>
  <c r="F79" i="327"/>
  <c r="E79" i="327"/>
  <c r="D79" i="327"/>
  <c r="C79" i="327"/>
  <c r="M78" i="327"/>
  <c r="L78" i="327"/>
  <c r="K78" i="327"/>
  <c r="J78" i="327"/>
  <c r="I78" i="327"/>
  <c r="H78" i="327"/>
  <c r="G78" i="327"/>
  <c r="F78" i="327"/>
  <c r="E78" i="327"/>
  <c r="D78" i="327"/>
  <c r="C78" i="327"/>
  <c r="M77" i="327"/>
  <c r="L77" i="327"/>
  <c r="K77" i="327"/>
  <c r="J77" i="327"/>
  <c r="I77" i="327"/>
  <c r="H77" i="327"/>
  <c r="G77" i="327"/>
  <c r="F77" i="327"/>
  <c r="E77" i="327"/>
  <c r="D77" i="327"/>
  <c r="C77" i="327"/>
  <c r="M76" i="327"/>
  <c r="L76" i="327"/>
  <c r="K76" i="327"/>
  <c r="J76" i="327"/>
  <c r="I76" i="327"/>
  <c r="H76" i="327"/>
  <c r="G76" i="327"/>
  <c r="F76" i="327"/>
  <c r="E76" i="327"/>
  <c r="D76" i="327"/>
  <c r="C76" i="327"/>
  <c r="M75" i="327"/>
  <c r="L75" i="327"/>
  <c r="K75" i="327"/>
  <c r="J75" i="327"/>
  <c r="I75" i="327"/>
  <c r="H75" i="327"/>
  <c r="G75" i="327"/>
  <c r="F75" i="327"/>
  <c r="E75" i="327"/>
  <c r="D75" i="327"/>
  <c r="C75" i="327"/>
  <c r="M74" i="327"/>
  <c r="L74" i="327"/>
  <c r="K74" i="327"/>
  <c r="J74" i="327"/>
  <c r="I74" i="327"/>
  <c r="H74" i="327"/>
  <c r="G74" i="327"/>
  <c r="F74" i="327"/>
  <c r="E74" i="327"/>
  <c r="D74" i="327"/>
  <c r="C74" i="327"/>
  <c r="M73" i="327"/>
  <c r="L73" i="327"/>
  <c r="K73" i="327"/>
  <c r="J73" i="327"/>
  <c r="I73" i="327"/>
  <c r="H73" i="327"/>
  <c r="G73" i="327"/>
  <c r="F73" i="327"/>
  <c r="E73" i="327"/>
  <c r="D73" i="327"/>
  <c r="C73" i="327"/>
  <c r="M72" i="327"/>
  <c r="L72" i="327"/>
  <c r="K72" i="327"/>
  <c r="J72" i="327"/>
  <c r="I72" i="327"/>
  <c r="H72" i="327"/>
  <c r="G72" i="327"/>
  <c r="F72" i="327"/>
  <c r="E72" i="327"/>
  <c r="D72" i="327"/>
  <c r="C72" i="327"/>
  <c r="M71" i="327"/>
  <c r="L71" i="327"/>
  <c r="K71" i="327"/>
  <c r="J71" i="327"/>
  <c r="I71" i="327"/>
  <c r="H71" i="327"/>
  <c r="G71" i="327"/>
  <c r="F71" i="327"/>
  <c r="E71" i="327"/>
  <c r="D71" i="327"/>
  <c r="C71" i="327"/>
  <c r="M70" i="327"/>
  <c r="L70" i="327"/>
  <c r="K70" i="327"/>
  <c r="J70" i="327"/>
  <c r="I70" i="327"/>
  <c r="H70" i="327"/>
  <c r="G70" i="327"/>
  <c r="F70" i="327"/>
  <c r="E70" i="327"/>
  <c r="D70" i="327"/>
  <c r="C70" i="327"/>
  <c r="M69" i="327"/>
  <c r="L69" i="327"/>
  <c r="K69" i="327"/>
  <c r="J69" i="327"/>
  <c r="I69" i="327"/>
  <c r="H69" i="327"/>
  <c r="G69" i="327"/>
  <c r="F69" i="327"/>
  <c r="E69" i="327"/>
  <c r="D69" i="327"/>
  <c r="C69" i="327"/>
  <c r="M68" i="327"/>
  <c r="L68" i="327"/>
  <c r="K68" i="327"/>
  <c r="J68" i="327"/>
  <c r="I68" i="327"/>
  <c r="H68" i="327"/>
  <c r="G68" i="327"/>
  <c r="F68" i="327"/>
  <c r="E68" i="327"/>
  <c r="D68" i="327"/>
  <c r="C68" i="327"/>
  <c r="M67" i="327"/>
  <c r="L67" i="327"/>
  <c r="K67" i="327"/>
  <c r="J67" i="327"/>
  <c r="I67" i="327"/>
  <c r="H67" i="327"/>
  <c r="G67" i="327"/>
  <c r="F67" i="327"/>
  <c r="E67" i="327"/>
  <c r="D67" i="327"/>
  <c r="C67" i="327"/>
  <c r="M66" i="327"/>
  <c r="L66" i="327"/>
  <c r="K66" i="327"/>
  <c r="J66" i="327"/>
  <c r="I66" i="327"/>
  <c r="H66" i="327"/>
  <c r="G66" i="327"/>
  <c r="F66" i="327"/>
  <c r="E66" i="327"/>
  <c r="D66" i="327"/>
  <c r="C66" i="327"/>
  <c r="M60" i="327"/>
  <c r="L60" i="327"/>
  <c r="K60" i="327"/>
  <c r="J60" i="327"/>
  <c r="I60" i="327"/>
  <c r="H60" i="327"/>
  <c r="G60" i="327"/>
  <c r="F60" i="327"/>
  <c r="E60" i="327"/>
  <c r="D60" i="327"/>
  <c r="C60" i="327"/>
  <c r="M59" i="327"/>
  <c r="L59" i="327"/>
  <c r="K59" i="327"/>
  <c r="J59" i="327"/>
  <c r="I59" i="327"/>
  <c r="H59" i="327"/>
  <c r="G59" i="327"/>
  <c r="F59" i="327"/>
  <c r="E59" i="327"/>
  <c r="D59" i="327"/>
  <c r="C59" i="327"/>
  <c r="M58" i="327"/>
  <c r="L58" i="327"/>
  <c r="K58" i="327"/>
  <c r="J58" i="327"/>
  <c r="I58" i="327"/>
  <c r="H58" i="327"/>
  <c r="G58" i="327"/>
  <c r="F58" i="327"/>
  <c r="E58" i="327"/>
  <c r="D58" i="327"/>
  <c r="C58" i="327"/>
  <c r="M57" i="327"/>
  <c r="L57" i="327"/>
  <c r="K57" i="327"/>
  <c r="J57" i="327"/>
  <c r="I57" i="327"/>
  <c r="H57" i="327"/>
  <c r="G57" i="327"/>
  <c r="F57" i="327"/>
  <c r="E57" i="327"/>
  <c r="D57" i="327"/>
  <c r="C57" i="327"/>
  <c r="M56" i="327"/>
  <c r="L56" i="327"/>
  <c r="K56" i="327"/>
  <c r="J56" i="327"/>
  <c r="I56" i="327"/>
  <c r="H56" i="327"/>
  <c r="G56" i="327"/>
  <c r="F56" i="327"/>
  <c r="E56" i="327"/>
  <c r="D56" i="327"/>
  <c r="C56" i="327"/>
  <c r="M55" i="327"/>
  <c r="L55" i="327"/>
  <c r="K55" i="327"/>
  <c r="J55" i="327"/>
  <c r="I55" i="327"/>
  <c r="H55" i="327"/>
  <c r="G55" i="327"/>
  <c r="F55" i="327"/>
  <c r="E55" i="327"/>
  <c r="D55" i="327"/>
  <c r="C55" i="327"/>
  <c r="M54" i="327"/>
  <c r="L54" i="327"/>
  <c r="K54" i="327"/>
  <c r="J54" i="327"/>
  <c r="I54" i="327"/>
  <c r="H54" i="327"/>
  <c r="G54" i="327"/>
  <c r="F54" i="327"/>
  <c r="E54" i="327"/>
  <c r="D54" i="327"/>
  <c r="C54" i="327"/>
  <c r="M53" i="327"/>
  <c r="L53" i="327"/>
  <c r="K53" i="327"/>
  <c r="J53" i="327"/>
  <c r="I53" i="327"/>
  <c r="H53" i="327"/>
  <c r="G53" i="327"/>
  <c r="F53" i="327"/>
  <c r="E53" i="327"/>
  <c r="D53" i="327"/>
  <c r="C53" i="327"/>
  <c r="M52" i="327"/>
  <c r="L52" i="327"/>
  <c r="K52" i="327"/>
  <c r="J52" i="327"/>
  <c r="I52" i="327"/>
  <c r="H52" i="327"/>
  <c r="G52" i="327"/>
  <c r="F52" i="327"/>
  <c r="E52" i="327"/>
  <c r="D52" i="327"/>
  <c r="C52" i="327"/>
  <c r="M51" i="327"/>
  <c r="L51" i="327"/>
  <c r="K51" i="327"/>
  <c r="J51" i="327"/>
  <c r="I51" i="327"/>
  <c r="H51" i="327"/>
  <c r="G51" i="327"/>
  <c r="F51" i="327"/>
  <c r="E51" i="327"/>
  <c r="D51" i="327"/>
  <c r="C51" i="327"/>
  <c r="M50" i="327"/>
  <c r="L50" i="327"/>
  <c r="K50" i="327"/>
  <c r="J50" i="327"/>
  <c r="I50" i="327"/>
  <c r="H50" i="327"/>
  <c r="G50" i="327"/>
  <c r="F50" i="327"/>
  <c r="E50" i="327"/>
  <c r="D50" i="327"/>
  <c r="C50" i="327"/>
  <c r="M49" i="327"/>
  <c r="L49" i="327"/>
  <c r="K49" i="327"/>
  <c r="J49" i="327"/>
  <c r="I49" i="327"/>
  <c r="H49" i="327"/>
  <c r="G49" i="327"/>
  <c r="F49" i="327"/>
  <c r="E49" i="327"/>
  <c r="D49" i="327"/>
  <c r="C49" i="327"/>
  <c r="M48" i="327"/>
  <c r="L48" i="327"/>
  <c r="K48" i="327"/>
  <c r="J48" i="327"/>
  <c r="I48" i="327"/>
  <c r="H48" i="327"/>
  <c r="G48" i="327"/>
  <c r="F48" i="327"/>
  <c r="E48" i="327"/>
  <c r="D48" i="327"/>
  <c r="C48" i="327"/>
  <c r="M47" i="327"/>
  <c r="L47" i="327"/>
  <c r="K47" i="327"/>
  <c r="J47" i="327"/>
  <c r="I47" i="327"/>
  <c r="H47" i="327"/>
  <c r="G47" i="327"/>
  <c r="F47" i="327"/>
  <c r="E47" i="327"/>
  <c r="D47" i="327"/>
  <c r="C47" i="327"/>
  <c r="M46" i="327"/>
  <c r="L46" i="327"/>
  <c r="K46" i="327"/>
  <c r="J46" i="327"/>
  <c r="I46" i="327"/>
  <c r="H46" i="327"/>
  <c r="G46" i="327"/>
  <c r="F46" i="327"/>
  <c r="E46" i="327"/>
  <c r="D46" i="327"/>
  <c r="C46" i="327"/>
  <c r="AJ40" i="327"/>
  <c r="AI40" i="327"/>
  <c r="AH40" i="327"/>
  <c r="AG40" i="327"/>
  <c r="AF40" i="327"/>
  <c r="AE40" i="327"/>
  <c r="AD40" i="327"/>
  <c r="AC40" i="327"/>
  <c r="AB40" i="327"/>
  <c r="AA40" i="327"/>
  <c r="Z40" i="327"/>
  <c r="AJ39" i="327"/>
  <c r="AI39" i="327"/>
  <c r="AH39" i="327"/>
  <c r="AG39" i="327"/>
  <c r="AF39" i="327"/>
  <c r="AE39" i="327"/>
  <c r="AD39" i="327"/>
  <c r="AC39" i="327"/>
  <c r="AB39" i="327"/>
  <c r="AA39" i="327"/>
  <c r="Z39" i="327"/>
  <c r="AJ38" i="327"/>
  <c r="AI38" i="327"/>
  <c r="AH38" i="327"/>
  <c r="AG38" i="327"/>
  <c r="AF38" i="327"/>
  <c r="AE38" i="327"/>
  <c r="AD38" i="327"/>
  <c r="AC38" i="327"/>
  <c r="AB38" i="327"/>
  <c r="AA38" i="327"/>
  <c r="Z38" i="327"/>
  <c r="AJ37" i="327"/>
  <c r="AI37" i="327"/>
  <c r="AH37" i="327"/>
  <c r="AG37" i="327"/>
  <c r="AF37" i="327"/>
  <c r="AE37" i="327"/>
  <c r="AD37" i="327"/>
  <c r="AC37" i="327"/>
  <c r="AB37" i="327"/>
  <c r="AA37" i="327"/>
  <c r="Z37" i="327"/>
  <c r="AJ36" i="327"/>
  <c r="AI36" i="327"/>
  <c r="AH36" i="327"/>
  <c r="AG36" i="327"/>
  <c r="AF36" i="327"/>
  <c r="AE36" i="327"/>
  <c r="AD36" i="327"/>
  <c r="AC36" i="327"/>
  <c r="AB36" i="327"/>
  <c r="AA36" i="327"/>
  <c r="Z36" i="327"/>
  <c r="AJ35" i="327"/>
  <c r="AI35" i="327"/>
  <c r="AH35" i="327"/>
  <c r="AG35" i="327"/>
  <c r="AF35" i="327"/>
  <c r="AE35" i="327"/>
  <c r="AD35" i="327"/>
  <c r="AC35" i="327"/>
  <c r="AB35" i="327"/>
  <c r="AA35" i="327"/>
  <c r="Z35" i="327"/>
  <c r="AJ34" i="327"/>
  <c r="AI34" i="327"/>
  <c r="AH34" i="327"/>
  <c r="AG34" i="327"/>
  <c r="AF34" i="327"/>
  <c r="AE34" i="327"/>
  <c r="AD34" i="327"/>
  <c r="AC34" i="327"/>
  <c r="AB34" i="327"/>
  <c r="AA34" i="327"/>
  <c r="Z34" i="327"/>
  <c r="AJ33" i="327"/>
  <c r="AI33" i="327"/>
  <c r="AH33" i="327"/>
  <c r="AG33" i="327"/>
  <c r="AF33" i="327"/>
  <c r="AE33" i="327"/>
  <c r="AD33" i="327"/>
  <c r="AC33" i="327"/>
  <c r="AB33" i="327"/>
  <c r="AA33" i="327"/>
  <c r="Z33" i="327"/>
  <c r="AJ32" i="327"/>
  <c r="AI32" i="327"/>
  <c r="AH32" i="327"/>
  <c r="AG32" i="327"/>
  <c r="AF32" i="327"/>
  <c r="AE32" i="327"/>
  <c r="AD32" i="327"/>
  <c r="AC32" i="327"/>
  <c r="AB32" i="327"/>
  <c r="AA32" i="327"/>
  <c r="Z32" i="327"/>
  <c r="AJ31" i="327"/>
  <c r="AI31" i="327"/>
  <c r="AH31" i="327"/>
  <c r="AG31" i="327"/>
  <c r="AF31" i="327"/>
  <c r="AE31" i="327"/>
  <c r="AD31" i="327"/>
  <c r="AC31" i="327"/>
  <c r="AB31" i="327"/>
  <c r="AA31" i="327"/>
  <c r="Z31" i="327"/>
  <c r="AJ30" i="327"/>
  <c r="AI30" i="327"/>
  <c r="AH30" i="327"/>
  <c r="AG30" i="327"/>
  <c r="AF30" i="327"/>
  <c r="AE30" i="327"/>
  <c r="AD30" i="327"/>
  <c r="AC30" i="327"/>
  <c r="AB30" i="327"/>
  <c r="AA30" i="327"/>
  <c r="Z30" i="327"/>
  <c r="AJ29" i="327"/>
  <c r="AI29" i="327"/>
  <c r="AH29" i="327"/>
  <c r="AG29" i="327"/>
  <c r="AF29" i="327"/>
  <c r="AE29" i="327"/>
  <c r="AD29" i="327"/>
  <c r="AC29" i="327"/>
  <c r="AB29" i="327"/>
  <c r="AA29" i="327"/>
  <c r="Z29" i="327"/>
  <c r="AJ28" i="327"/>
  <c r="AI28" i="327"/>
  <c r="AH28" i="327"/>
  <c r="AG28" i="327"/>
  <c r="AF28" i="327"/>
  <c r="AE28" i="327"/>
  <c r="AD28" i="327"/>
  <c r="AC28" i="327"/>
  <c r="AB28" i="327"/>
  <c r="AA28" i="327"/>
  <c r="Z28" i="327"/>
  <c r="AJ27" i="327"/>
  <c r="AI27" i="327"/>
  <c r="AH27" i="327"/>
  <c r="AG27" i="327"/>
  <c r="AF27" i="327"/>
  <c r="AE27" i="327"/>
  <c r="AD27" i="327"/>
  <c r="AC27" i="327"/>
  <c r="AB27" i="327"/>
  <c r="AA27" i="327"/>
  <c r="Z27" i="327"/>
  <c r="AJ26" i="327"/>
  <c r="AI26" i="327"/>
  <c r="AH26" i="327"/>
  <c r="AG26" i="327"/>
  <c r="AF26" i="327"/>
  <c r="AE26" i="327"/>
  <c r="AD26" i="327"/>
  <c r="AC26" i="327"/>
  <c r="AB26" i="327"/>
  <c r="AA26" i="327"/>
  <c r="Z26" i="327"/>
  <c r="E142" i="326"/>
  <c r="D142" i="326"/>
  <c r="C142" i="326"/>
  <c r="E141" i="326"/>
  <c r="D141" i="326"/>
  <c r="C141" i="326"/>
  <c r="E140" i="326"/>
  <c r="D140" i="326"/>
  <c r="C140" i="326"/>
  <c r="E139" i="326"/>
  <c r="D139" i="326"/>
  <c r="C139" i="326"/>
  <c r="E138" i="326"/>
  <c r="D138" i="326"/>
  <c r="C138" i="326"/>
  <c r="E137" i="326"/>
  <c r="D137" i="326"/>
  <c r="C137" i="326"/>
  <c r="E136" i="326"/>
  <c r="D136" i="326"/>
  <c r="C136" i="326"/>
  <c r="E135" i="326"/>
  <c r="D135" i="326"/>
  <c r="C135" i="326"/>
  <c r="E134" i="326"/>
  <c r="D134" i="326"/>
  <c r="C134" i="326"/>
  <c r="E133" i="326"/>
  <c r="D133" i="326"/>
  <c r="C133" i="326"/>
  <c r="E132" i="326"/>
  <c r="D132" i="326"/>
  <c r="C132" i="326"/>
  <c r="E131" i="326"/>
  <c r="D131" i="326"/>
  <c r="C131" i="326"/>
  <c r="E130" i="326"/>
  <c r="D130" i="326"/>
  <c r="C130" i="326"/>
  <c r="E129" i="326"/>
  <c r="D129" i="326"/>
  <c r="C129" i="326"/>
  <c r="E128" i="326"/>
  <c r="D128" i="326"/>
  <c r="C128" i="326"/>
  <c r="H122" i="326"/>
  <c r="G122" i="326"/>
  <c r="F122" i="326"/>
  <c r="E122" i="326"/>
  <c r="D122" i="326"/>
  <c r="C122" i="326"/>
  <c r="H121" i="326"/>
  <c r="G121" i="326"/>
  <c r="F121" i="326"/>
  <c r="E121" i="326"/>
  <c r="D121" i="326"/>
  <c r="C121" i="326"/>
  <c r="H120" i="326"/>
  <c r="G120" i="326"/>
  <c r="F120" i="326"/>
  <c r="E120" i="326"/>
  <c r="D120" i="326"/>
  <c r="C120" i="326"/>
  <c r="H119" i="326"/>
  <c r="G119" i="326"/>
  <c r="F119" i="326"/>
  <c r="E119" i="326"/>
  <c r="D119" i="326"/>
  <c r="C119" i="326"/>
  <c r="H118" i="326"/>
  <c r="G118" i="326"/>
  <c r="F118" i="326"/>
  <c r="E118" i="326"/>
  <c r="D118" i="326"/>
  <c r="C118" i="326"/>
  <c r="H117" i="326"/>
  <c r="G117" i="326"/>
  <c r="F117" i="326"/>
  <c r="E117" i="326"/>
  <c r="D117" i="326"/>
  <c r="C117" i="326"/>
  <c r="H116" i="326"/>
  <c r="G116" i="326"/>
  <c r="F116" i="326"/>
  <c r="E116" i="326"/>
  <c r="D116" i="326"/>
  <c r="C116" i="326"/>
  <c r="H115" i="326"/>
  <c r="G115" i="326"/>
  <c r="F115" i="326"/>
  <c r="E115" i="326"/>
  <c r="D115" i="326"/>
  <c r="C115" i="326"/>
  <c r="H114" i="326"/>
  <c r="G114" i="326"/>
  <c r="F114" i="326"/>
  <c r="E114" i="326"/>
  <c r="D114" i="326"/>
  <c r="C114" i="326"/>
  <c r="H113" i="326"/>
  <c r="G113" i="326"/>
  <c r="F113" i="326"/>
  <c r="E113" i="326"/>
  <c r="D113" i="326"/>
  <c r="C113" i="326"/>
  <c r="H112" i="326"/>
  <c r="G112" i="326"/>
  <c r="F112" i="326"/>
  <c r="E112" i="326"/>
  <c r="D112" i="326"/>
  <c r="C112" i="326"/>
  <c r="H111" i="326"/>
  <c r="G111" i="326"/>
  <c r="F111" i="326"/>
  <c r="E111" i="326"/>
  <c r="D111" i="326"/>
  <c r="C111" i="326"/>
  <c r="H110" i="326"/>
  <c r="G110" i="326"/>
  <c r="F110" i="326"/>
  <c r="E110" i="326"/>
  <c r="D110" i="326"/>
  <c r="C110" i="326"/>
  <c r="H109" i="326"/>
  <c r="G109" i="326"/>
  <c r="F109" i="326"/>
  <c r="E109" i="326"/>
  <c r="D109" i="326"/>
  <c r="C109" i="326"/>
  <c r="H108" i="326"/>
  <c r="G108" i="326"/>
  <c r="F108" i="326"/>
  <c r="E108" i="326"/>
  <c r="D108" i="326"/>
  <c r="C108" i="326"/>
  <c r="H102" i="326"/>
  <c r="G102" i="326"/>
  <c r="F102" i="326"/>
  <c r="E102" i="326"/>
  <c r="D102" i="326"/>
  <c r="C102" i="326"/>
  <c r="H101" i="326"/>
  <c r="G101" i="326"/>
  <c r="F101" i="326"/>
  <c r="E101" i="326"/>
  <c r="D101" i="326"/>
  <c r="C101" i="326"/>
  <c r="H100" i="326"/>
  <c r="G100" i="326"/>
  <c r="F100" i="326"/>
  <c r="E100" i="326"/>
  <c r="D100" i="326"/>
  <c r="C100" i="326"/>
  <c r="H99" i="326"/>
  <c r="G99" i="326"/>
  <c r="F99" i="326"/>
  <c r="E99" i="326"/>
  <c r="D99" i="326"/>
  <c r="C99" i="326"/>
  <c r="H98" i="326"/>
  <c r="G98" i="326"/>
  <c r="F98" i="326"/>
  <c r="E98" i="326"/>
  <c r="D98" i="326"/>
  <c r="C98" i="326"/>
  <c r="H97" i="326"/>
  <c r="G97" i="326"/>
  <c r="F97" i="326"/>
  <c r="E97" i="326"/>
  <c r="D97" i="326"/>
  <c r="C97" i="326"/>
  <c r="H96" i="326"/>
  <c r="G96" i="326"/>
  <c r="F96" i="326"/>
  <c r="E96" i="326"/>
  <c r="D96" i="326"/>
  <c r="C96" i="326"/>
  <c r="H95" i="326"/>
  <c r="G95" i="326"/>
  <c r="F95" i="326"/>
  <c r="E95" i="326"/>
  <c r="D95" i="326"/>
  <c r="C95" i="326"/>
  <c r="H94" i="326"/>
  <c r="G94" i="326"/>
  <c r="F94" i="326"/>
  <c r="E94" i="326"/>
  <c r="D94" i="326"/>
  <c r="C94" i="326"/>
  <c r="H93" i="326"/>
  <c r="G93" i="326"/>
  <c r="F93" i="326"/>
  <c r="E93" i="326"/>
  <c r="D93" i="326"/>
  <c r="C93" i="326"/>
  <c r="H92" i="326"/>
  <c r="G92" i="326"/>
  <c r="F92" i="326"/>
  <c r="E92" i="326"/>
  <c r="D92" i="326"/>
  <c r="C92" i="326"/>
  <c r="H91" i="326"/>
  <c r="G91" i="326"/>
  <c r="F91" i="326"/>
  <c r="E91" i="326"/>
  <c r="D91" i="326"/>
  <c r="C91" i="326"/>
  <c r="H90" i="326"/>
  <c r="G90" i="326"/>
  <c r="F90" i="326"/>
  <c r="E90" i="326"/>
  <c r="D90" i="326"/>
  <c r="C90" i="326"/>
  <c r="H89" i="326"/>
  <c r="G89" i="326"/>
  <c r="F89" i="326"/>
  <c r="E89" i="326"/>
  <c r="D89" i="326"/>
  <c r="C89" i="326"/>
  <c r="H88" i="326"/>
  <c r="G88" i="326"/>
  <c r="F88" i="326"/>
  <c r="E88" i="326"/>
  <c r="D88" i="326"/>
  <c r="C88" i="326"/>
  <c r="H82" i="326"/>
  <c r="G82" i="326"/>
  <c r="F82" i="326"/>
  <c r="E82" i="326"/>
  <c r="D82" i="326"/>
  <c r="C82" i="326"/>
  <c r="H81" i="326"/>
  <c r="G81" i="326"/>
  <c r="F81" i="326"/>
  <c r="E81" i="326"/>
  <c r="D81" i="326"/>
  <c r="C81" i="326"/>
  <c r="H80" i="326"/>
  <c r="G80" i="326"/>
  <c r="F80" i="326"/>
  <c r="E80" i="326"/>
  <c r="D80" i="326"/>
  <c r="C80" i="326"/>
  <c r="H79" i="326"/>
  <c r="G79" i="326"/>
  <c r="F79" i="326"/>
  <c r="E79" i="326"/>
  <c r="D79" i="326"/>
  <c r="C79" i="326"/>
  <c r="H78" i="326"/>
  <c r="G78" i="326"/>
  <c r="F78" i="326"/>
  <c r="E78" i="326"/>
  <c r="D78" i="326"/>
  <c r="C78" i="326"/>
  <c r="H77" i="326"/>
  <c r="G77" i="326"/>
  <c r="F77" i="326"/>
  <c r="E77" i="326"/>
  <c r="D77" i="326"/>
  <c r="C77" i="326"/>
  <c r="H76" i="326"/>
  <c r="G76" i="326"/>
  <c r="F76" i="326"/>
  <c r="E76" i="326"/>
  <c r="D76" i="326"/>
  <c r="C76" i="326"/>
  <c r="H75" i="326"/>
  <c r="G75" i="326"/>
  <c r="F75" i="326"/>
  <c r="E75" i="326"/>
  <c r="D75" i="326"/>
  <c r="C75" i="326"/>
  <c r="H74" i="326"/>
  <c r="G74" i="326"/>
  <c r="F74" i="326"/>
  <c r="E74" i="326"/>
  <c r="D74" i="326"/>
  <c r="C74" i="326"/>
  <c r="H73" i="326"/>
  <c r="G73" i="326"/>
  <c r="F73" i="326"/>
  <c r="E73" i="326"/>
  <c r="D73" i="326"/>
  <c r="C73" i="326"/>
  <c r="H72" i="326"/>
  <c r="G72" i="326"/>
  <c r="F72" i="326"/>
  <c r="E72" i="326"/>
  <c r="D72" i="326"/>
  <c r="C72" i="326"/>
  <c r="H71" i="326"/>
  <c r="G71" i="326"/>
  <c r="F71" i="326"/>
  <c r="E71" i="326"/>
  <c r="D71" i="326"/>
  <c r="C71" i="326"/>
  <c r="H70" i="326"/>
  <c r="G70" i="326"/>
  <c r="F70" i="326"/>
  <c r="E70" i="326"/>
  <c r="D70" i="326"/>
  <c r="C70" i="326"/>
  <c r="H69" i="326"/>
  <c r="G69" i="326"/>
  <c r="F69" i="326"/>
  <c r="E69" i="326"/>
  <c r="D69" i="326"/>
  <c r="C69" i="326"/>
  <c r="H68" i="326"/>
  <c r="G68" i="326"/>
  <c r="F68" i="326"/>
  <c r="E68" i="326"/>
  <c r="D68" i="326"/>
  <c r="C68" i="326"/>
  <c r="H62" i="326"/>
  <c r="G62" i="326"/>
  <c r="F62" i="326"/>
  <c r="E62" i="326"/>
  <c r="D62" i="326"/>
  <c r="C62" i="326"/>
  <c r="H61" i="326"/>
  <c r="G61" i="326"/>
  <c r="F61" i="326"/>
  <c r="E61" i="326"/>
  <c r="D61" i="326"/>
  <c r="C61" i="326"/>
  <c r="H60" i="326"/>
  <c r="G60" i="326"/>
  <c r="F60" i="326"/>
  <c r="E60" i="326"/>
  <c r="D60" i="326"/>
  <c r="C60" i="326"/>
  <c r="H59" i="326"/>
  <c r="G59" i="326"/>
  <c r="F59" i="326"/>
  <c r="E59" i="326"/>
  <c r="D59" i="326"/>
  <c r="C59" i="326"/>
  <c r="H58" i="326"/>
  <c r="G58" i="326"/>
  <c r="F58" i="326"/>
  <c r="E58" i="326"/>
  <c r="D58" i="326"/>
  <c r="C58" i="326"/>
  <c r="H57" i="326"/>
  <c r="G57" i="326"/>
  <c r="F57" i="326"/>
  <c r="E57" i="326"/>
  <c r="D57" i="326"/>
  <c r="C57" i="326"/>
  <c r="H56" i="326"/>
  <c r="G56" i="326"/>
  <c r="F56" i="326"/>
  <c r="E56" i="326"/>
  <c r="D56" i="326"/>
  <c r="C56" i="326"/>
  <c r="H55" i="326"/>
  <c r="G55" i="326"/>
  <c r="F55" i="326"/>
  <c r="E55" i="326"/>
  <c r="D55" i="326"/>
  <c r="C55" i="326"/>
  <c r="H54" i="326"/>
  <c r="G54" i="326"/>
  <c r="F54" i="326"/>
  <c r="E54" i="326"/>
  <c r="D54" i="326"/>
  <c r="C54" i="326"/>
  <c r="H53" i="326"/>
  <c r="G53" i="326"/>
  <c r="F53" i="326"/>
  <c r="E53" i="326"/>
  <c r="D53" i="326"/>
  <c r="C53" i="326"/>
  <c r="H52" i="326"/>
  <c r="G52" i="326"/>
  <c r="F52" i="326"/>
  <c r="E52" i="326"/>
  <c r="D52" i="326"/>
  <c r="C52" i="326"/>
  <c r="H51" i="326"/>
  <c r="G51" i="326"/>
  <c r="F51" i="326"/>
  <c r="E51" i="326"/>
  <c r="D51" i="326"/>
  <c r="C51" i="326"/>
  <c r="H50" i="326"/>
  <c r="G50" i="326"/>
  <c r="F50" i="326"/>
  <c r="E50" i="326"/>
  <c r="D50" i="326"/>
  <c r="C50" i="326"/>
  <c r="H49" i="326"/>
  <c r="G49" i="326"/>
  <c r="F49" i="326"/>
  <c r="E49" i="326"/>
  <c r="D49" i="326"/>
  <c r="C49" i="326"/>
  <c r="H48" i="326"/>
  <c r="G48" i="326"/>
  <c r="F48" i="326"/>
  <c r="E48" i="326"/>
  <c r="D48" i="326"/>
  <c r="C48" i="326"/>
  <c r="H42" i="326"/>
  <c r="G42" i="326"/>
  <c r="F42" i="326"/>
  <c r="E42" i="326"/>
  <c r="D42" i="326"/>
  <c r="C42" i="326"/>
  <c r="H41" i="326"/>
  <c r="G41" i="326"/>
  <c r="F41" i="326"/>
  <c r="E41" i="326"/>
  <c r="D41" i="326"/>
  <c r="C41" i="326"/>
  <c r="H40" i="326"/>
  <c r="G40" i="326"/>
  <c r="F40" i="326"/>
  <c r="E40" i="326"/>
  <c r="D40" i="326"/>
  <c r="C40" i="326"/>
  <c r="H39" i="326"/>
  <c r="G39" i="326"/>
  <c r="F39" i="326"/>
  <c r="E39" i="326"/>
  <c r="D39" i="326"/>
  <c r="C39" i="326"/>
  <c r="H38" i="326"/>
  <c r="G38" i="326"/>
  <c r="F38" i="326"/>
  <c r="E38" i="326"/>
  <c r="D38" i="326"/>
  <c r="C38" i="326"/>
  <c r="H37" i="326"/>
  <c r="G37" i="326"/>
  <c r="F37" i="326"/>
  <c r="E37" i="326"/>
  <c r="D37" i="326"/>
  <c r="C37" i="326"/>
  <c r="H36" i="326"/>
  <c r="G36" i="326"/>
  <c r="F36" i="326"/>
  <c r="E36" i="326"/>
  <c r="D36" i="326"/>
  <c r="C36" i="326"/>
  <c r="H35" i="326"/>
  <c r="G35" i="326"/>
  <c r="F35" i="326"/>
  <c r="E35" i="326"/>
  <c r="D35" i="326"/>
  <c r="C35" i="326"/>
  <c r="H34" i="326"/>
  <c r="G34" i="326"/>
  <c r="F34" i="326"/>
  <c r="E34" i="326"/>
  <c r="D34" i="326"/>
  <c r="C34" i="326"/>
  <c r="H33" i="326"/>
  <c r="G33" i="326"/>
  <c r="F33" i="326"/>
  <c r="E33" i="326"/>
  <c r="D33" i="326"/>
  <c r="C33" i="326"/>
  <c r="H32" i="326"/>
  <c r="G32" i="326"/>
  <c r="F32" i="326"/>
  <c r="E32" i="326"/>
  <c r="D32" i="326"/>
  <c r="C32" i="326"/>
  <c r="H31" i="326"/>
  <c r="G31" i="326"/>
  <c r="F31" i="326"/>
  <c r="E31" i="326"/>
  <c r="D31" i="326"/>
  <c r="C31" i="326"/>
  <c r="H30" i="326"/>
  <c r="G30" i="326"/>
  <c r="F30" i="326"/>
  <c r="E30" i="326"/>
  <c r="D30" i="326"/>
  <c r="C30" i="326"/>
  <c r="H29" i="326"/>
  <c r="G29" i="326"/>
  <c r="F29" i="326"/>
  <c r="E29" i="326"/>
  <c r="D29" i="326"/>
  <c r="C29" i="326"/>
  <c r="H28" i="326"/>
  <c r="G28" i="326"/>
  <c r="F28" i="326"/>
  <c r="E28" i="326"/>
  <c r="D28" i="326"/>
  <c r="C28" i="326"/>
  <c r="AI22" i="326"/>
  <c r="AH22" i="326"/>
  <c r="AG22" i="326"/>
  <c r="AF22" i="326"/>
  <c r="AE22" i="326"/>
  <c r="AD22" i="326"/>
  <c r="AC22" i="326"/>
  <c r="AB22" i="326"/>
  <c r="AA22" i="326"/>
  <c r="Z22" i="326"/>
  <c r="Y22" i="326"/>
  <c r="X22" i="326"/>
  <c r="W22" i="326"/>
  <c r="V22" i="326"/>
  <c r="U22" i="326"/>
  <c r="T22" i="326"/>
  <c r="S22" i="326"/>
  <c r="R22" i="326"/>
  <c r="Q22" i="326"/>
  <c r="P22" i="326"/>
  <c r="O22" i="326"/>
  <c r="N22" i="326"/>
  <c r="M22" i="326"/>
  <c r="L22" i="326"/>
  <c r="K22" i="326"/>
  <c r="J22" i="326"/>
  <c r="I22" i="326"/>
  <c r="H22" i="326"/>
  <c r="G22" i="326"/>
  <c r="F22" i="326"/>
  <c r="E22" i="326"/>
  <c r="D22" i="326"/>
  <c r="C22" i="326"/>
  <c r="AI21" i="326"/>
  <c r="AH21" i="326"/>
  <c r="AG21" i="326"/>
  <c r="AF21" i="326"/>
  <c r="AE21" i="326"/>
  <c r="AD21" i="326"/>
  <c r="AC21" i="326"/>
  <c r="AB21" i="326"/>
  <c r="AA21" i="326"/>
  <c r="Z21" i="326"/>
  <c r="Y21" i="326"/>
  <c r="X21" i="326"/>
  <c r="W21" i="326"/>
  <c r="V21" i="326"/>
  <c r="U21" i="326"/>
  <c r="T21" i="326"/>
  <c r="S21" i="326"/>
  <c r="R21" i="326"/>
  <c r="Q21" i="326"/>
  <c r="P21" i="326"/>
  <c r="O21" i="326"/>
  <c r="N21" i="326"/>
  <c r="M21" i="326"/>
  <c r="L21" i="326"/>
  <c r="K21" i="326"/>
  <c r="J21" i="326"/>
  <c r="I21" i="326"/>
  <c r="H21" i="326"/>
  <c r="G21" i="326"/>
  <c r="F21" i="326"/>
  <c r="E21" i="326"/>
  <c r="D21" i="326"/>
  <c r="C21" i="326"/>
  <c r="AI20" i="326"/>
  <c r="AH20" i="326"/>
  <c r="AG20" i="326"/>
  <c r="AF20" i="326"/>
  <c r="AE20" i="326"/>
  <c r="AD20" i="326"/>
  <c r="AC20" i="326"/>
  <c r="AB20" i="326"/>
  <c r="AA20" i="326"/>
  <c r="Z20" i="326"/>
  <c r="Y20" i="326"/>
  <c r="X20" i="326"/>
  <c r="W20" i="326"/>
  <c r="V20" i="326"/>
  <c r="U20" i="326"/>
  <c r="T20" i="326"/>
  <c r="S20" i="326"/>
  <c r="R20" i="326"/>
  <c r="Q20" i="326"/>
  <c r="P20" i="326"/>
  <c r="O20" i="326"/>
  <c r="N20" i="326"/>
  <c r="M20" i="326"/>
  <c r="L20" i="326"/>
  <c r="K20" i="326"/>
  <c r="J20" i="326"/>
  <c r="I20" i="326"/>
  <c r="H20" i="326"/>
  <c r="G20" i="326"/>
  <c r="F20" i="326"/>
  <c r="E20" i="326"/>
  <c r="D20" i="326"/>
  <c r="C20" i="326"/>
  <c r="AI19" i="326"/>
  <c r="AH19" i="326"/>
  <c r="AG19" i="326"/>
  <c r="AF19" i="326"/>
  <c r="AE19" i="326"/>
  <c r="AD19" i="326"/>
  <c r="AC19" i="326"/>
  <c r="AB19" i="326"/>
  <c r="AA19" i="326"/>
  <c r="Z19" i="326"/>
  <c r="Y19" i="326"/>
  <c r="X19" i="326"/>
  <c r="W19" i="326"/>
  <c r="V19" i="326"/>
  <c r="U19" i="326"/>
  <c r="T19" i="326"/>
  <c r="S19" i="326"/>
  <c r="R19" i="326"/>
  <c r="Q19" i="326"/>
  <c r="P19" i="326"/>
  <c r="O19" i="326"/>
  <c r="N19" i="326"/>
  <c r="M19" i="326"/>
  <c r="L19" i="326"/>
  <c r="K19" i="326"/>
  <c r="J19" i="326"/>
  <c r="I19" i="326"/>
  <c r="H19" i="326"/>
  <c r="G19" i="326"/>
  <c r="F19" i="326"/>
  <c r="E19" i="326"/>
  <c r="D19" i="326"/>
  <c r="C19" i="326"/>
  <c r="AI18" i="326"/>
  <c r="AH18" i="326"/>
  <c r="AG18" i="326"/>
  <c r="AF18" i="326"/>
  <c r="AE18" i="326"/>
  <c r="AD18" i="326"/>
  <c r="AC18" i="326"/>
  <c r="AB18" i="326"/>
  <c r="AA18" i="326"/>
  <c r="Z18" i="326"/>
  <c r="Y18" i="326"/>
  <c r="X18" i="326"/>
  <c r="W18" i="326"/>
  <c r="V18" i="326"/>
  <c r="U18" i="326"/>
  <c r="T18" i="326"/>
  <c r="S18" i="326"/>
  <c r="R18" i="326"/>
  <c r="Q18" i="326"/>
  <c r="P18" i="326"/>
  <c r="O18" i="326"/>
  <c r="N18" i="326"/>
  <c r="M18" i="326"/>
  <c r="L18" i="326"/>
  <c r="K18" i="326"/>
  <c r="J18" i="326"/>
  <c r="I18" i="326"/>
  <c r="H18" i="326"/>
  <c r="G18" i="326"/>
  <c r="F18" i="326"/>
  <c r="E18" i="326"/>
  <c r="D18" i="326"/>
  <c r="C18" i="326"/>
  <c r="AI17" i="326"/>
  <c r="AH17" i="326"/>
  <c r="AG17" i="326"/>
  <c r="AF17" i="326"/>
  <c r="AE17" i="326"/>
  <c r="AD17" i="326"/>
  <c r="AC17" i="326"/>
  <c r="AB17" i="326"/>
  <c r="AA17" i="326"/>
  <c r="Z17" i="326"/>
  <c r="Y17" i="326"/>
  <c r="X17" i="326"/>
  <c r="W17" i="326"/>
  <c r="V17" i="326"/>
  <c r="U17" i="326"/>
  <c r="T17" i="326"/>
  <c r="S17" i="326"/>
  <c r="R17" i="326"/>
  <c r="Q17" i="326"/>
  <c r="P17" i="326"/>
  <c r="O17" i="326"/>
  <c r="N17" i="326"/>
  <c r="M17" i="326"/>
  <c r="L17" i="326"/>
  <c r="K17" i="326"/>
  <c r="J17" i="326"/>
  <c r="I17" i="326"/>
  <c r="H17" i="326"/>
  <c r="G17" i="326"/>
  <c r="F17" i="326"/>
  <c r="E17" i="326"/>
  <c r="D17" i="326"/>
  <c r="C17" i="326"/>
  <c r="AI16" i="326"/>
  <c r="AH16" i="326"/>
  <c r="AG16" i="326"/>
  <c r="AF16" i="326"/>
  <c r="AE16" i="326"/>
  <c r="AD16" i="326"/>
  <c r="AC16" i="326"/>
  <c r="AB16" i="326"/>
  <c r="AA16" i="326"/>
  <c r="Z16" i="326"/>
  <c r="Y16" i="326"/>
  <c r="X16" i="326"/>
  <c r="W16" i="326"/>
  <c r="V16" i="326"/>
  <c r="U16" i="326"/>
  <c r="T16" i="326"/>
  <c r="S16" i="326"/>
  <c r="R16" i="326"/>
  <c r="Q16" i="326"/>
  <c r="P16" i="326"/>
  <c r="O16" i="326"/>
  <c r="N16" i="326"/>
  <c r="M16" i="326"/>
  <c r="L16" i="326"/>
  <c r="K16" i="326"/>
  <c r="J16" i="326"/>
  <c r="I16" i="326"/>
  <c r="H16" i="326"/>
  <c r="G16" i="326"/>
  <c r="F16" i="326"/>
  <c r="E16" i="326"/>
  <c r="D16" i="326"/>
  <c r="C16" i="326"/>
  <c r="AI15" i="326"/>
  <c r="AH15" i="326"/>
  <c r="AG15" i="326"/>
  <c r="AF15" i="326"/>
  <c r="AE15" i="326"/>
  <c r="AD15" i="326"/>
  <c r="AC15" i="326"/>
  <c r="AB15" i="326"/>
  <c r="AA15" i="326"/>
  <c r="Z15" i="326"/>
  <c r="Y15" i="326"/>
  <c r="X15" i="326"/>
  <c r="W15" i="326"/>
  <c r="V15" i="326"/>
  <c r="U15" i="326"/>
  <c r="T15" i="326"/>
  <c r="S15" i="326"/>
  <c r="R15" i="326"/>
  <c r="Q15" i="326"/>
  <c r="P15" i="326"/>
  <c r="O15" i="326"/>
  <c r="N15" i="326"/>
  <c r="M15" i="326"/>
  <c r="L15" i="326"/>
  <c r="K15" i="326"/>
  <c r="J15" i="326"/>
  <c r="I15" i="326"/>
  <c r="H15" i="326"/>
  <c r="G15" i="326"/>
  <c r="F15" i="326"/>
  <c r="E15" i="326"/>
  <c r="D15" i="326"/>
  <c r="C15" i="326"/>
  <c r="AI14" i="326"/>
  <c r="AH14" i="326"/>
  <c r="AG14" i="326"/>
  <c r="AF14" i="326"/>
  <c r="AE14" i="326"/>
  <c r="AD14" i="326"/>
  <c r="AC14" i="326"/>
  <c r="AB14" i="326"/>
  <c r="AA14" i="326"/>
  <c r="Z14" i="326"/>
  <c r="Y14" i="326"/>
  <c r="X14" i="326"/>
  <c r="W14" i="326"/>
  <c r="V14" i="326"/>
  <c r="U14" i="326"/>
  <c r="T14" i="326"/>
  <c r="S14" i="326"/>
  <c r="R14" i="326"/>
  <c r="Q14" i="326"/>
  <c r="P14" i="326"/>
  <c r="O14" i="326"/>
  <c r="N14" i="326"/>
  <c r="M14" i="326"/>
  <c r="L14" i="326"/>
  <c r="K14" i="326"/>
  <c r="J14" i="326"/>
  <c r="I14" i="326"/>
  <c r="H14" i="326"/>
  <c r="G14" i="326"/>
  <c r="F14" i="326"/>
  <c r="E14" i="326"/>
  <c r="D14" i="326"/>
  <c r="C14" i="326"/>
  <c r="AI13" i="326"/>
  <c r="AH13" i="326"/>
  <c r="AG13" i="326"/>
  <c r="AF13" i="326"/>
  <c r="AE13" i="326"/>
  <c r="AD13" i="326"/>
  <c r="AC13" i="326"/>
  <c r="AB13" i="326"/>
  <c r="AA13" i="326"/>
  <c r="Z13" i="326"/>
  <c r="Y13" i="326"/>
  <c r="X13" i="326"/>
  <c r="W13" i="326"/>
  <c r="V13" i="326"/>
  <c r="U13" i="326"/>
  <c r="T13" i="326"/>
  <c r="S13" i="326"/>
  <c r="R13" i="326"/>
  <c r="Q13" i="326"/>
  <c r="P13" i="326"/>
  <c r="O13" i="326"/>
  <c r="N13" i="326"/>
  <c r="M13" i="326"/>
  <c r="L13" i="326"/>
  <c r="K13" i="326"/>
  <c r="J13" i="326"/>
  <c r="I13" i="326"/>
  <c r="H13" i="326"/>
  <c r="G13" i="326"/>
  <c r="F13" i="326"/>
  <c r="E13" i="326"/>
  <c r="D13" i="326"/>
  <c r="C13" i="326"/>
  <c r="AI12" i="326"/>
  <c r="AH12" i="326"/>
  <c r="AG12" i="326"/>
  <c r="AF12" i="326"/>
  <c r="AE12" i="326"/>
  <c r="AD12" i="326"/>
  <c r="AC12" i="326"/>
  <c r="AB12" i="326"/>
  <c r="AA12" i="326"/>
  <c r="Z12" i="326"/>
  <c r="Y12" i="326"/>
  <c r="X12" i="326"/>
  <c r="W12" i="326"/>
  <c r="V12" i="326"/>
  <c r="U12" i="326"/>
  <c r="T12" i="326"/>
  <c r="S12" i="326"/>
  <c r="R12" i="326"/>
  <c r="Q12" i="326"/>
  <c r="P12" i="326"/>
  <c r="O12" i="326"/>
  <c r="N12" i="326"/>
  <c r="M12" i="326"/>
  <c r="L12" i="326"/>
  <c r="K12" i="326"/>
  <c r="J12" i="326"/>
  <c r="I12" i="326"/>
  <c r="H12" i="326"/>
  <c r="G12" i="326"/>
  <c r="F12" i="326"/>
  <c r="E12" i="326"/>
  <c r="D12" i="326"/>
  <c r="C12" i="326"/>
  <c r="AI11" i="326"/>
  <c r="AH11" i="326"/>
  <c r="AG11" i="326"/>
  <c r="AF11" i="326"/>
  <c r="AE11" i="326"/>
  <c r="AD11" i="326"/>
  <c r="AC11" i="326"/>
  <c r="AB11" i="326"/>
  <c r="AA11" i="326"/>
  <c r="Z11" i="326"/>
  <c r="Y11" i="326"/>
  <c r="X11" i="326"/>
  <c r="W11" i="326"/>
  <c r="V11" i="326"/>
  <c r="U11" i="326"/>
  <c r="T11" i="326"/>
  <c r="S11" i="326"/>
  <c r="R11" i="326"/>
  <c r="Q11" i="326"/>
  <c r="P11" i="326"/>
  <c r="O11" i="326"/>
  <c r="N11" i="326"/>
  <c r="M11" i="326"/>
  <c r="L11" i="326"/>
  <c r="K11" i="326"/>
  <c r="J11" i="326"/>
  <c r="I11" i="326"/>
  <c r="H11" i="326"/>
  <c r="G11" i="326"/>
  <c r="F11" i="326"/>
  <c r="E11" i="326"/>
  <c r="D11" i="326"/>
  <c r="C11" i="326"/>
  <c r="AI10" i="326"/>
  <c r="AH10" i="326"/>
  <c r="AG10" i="326"/>
  <c r="AF10" i="326"/>
  <c r="AE10" i="326"/>
  <c r="AD10" i="326"/>
  <c r="AC10" i="326"/>
  <c r="AB10" i="326"/>
  <c r="AA10" i="326"/>
  <c r="Z10" i="326"/>
  <c r="Y10" i="326"/>
  <c r="X10" i="326"/>
  <c r="W10" i="326"/>
  <c r="V10" i="326"/>
  <c r="U10" i="326"/>
  <c r="T10" i="326"/>
  <c r="S10" i="326"/>
  <c r="R10" i="326"/>
  <c r="Q10" i="326"/>
  <c r="P10" i="326"/>
  <c r="O10" i="326"/>
  <c r="N10" i="326"/>
  <c r="M10" i="326"/>
  <c r="L10" i="326"/>
  <c r="K10" i="326"/>
  <c r="J10" i="326"/>
  <c r="I10" i="326"/>
  <c r="H10" i="326"/>
  <c r="G10" i="326"/>
  <c r="F10" i="326"/>
  <c r="E10" i="326"/>
  <c r="D10" i="326"/>
  <c r="C10" i="326"/>
  <c r="AI9" i="326"/>
  <c r="AH9" i="326"/>
  <c r="AG9" i="326"/>
  <c r="AF9" i="326"/>
  <c r="AE9" i="326"/>
  <c r="AD9" i="326"/>
  <c r="AC9" i="326"/>
  <c r="AB9" i="326"/>
  <c r="AA9" i="326"/>
  <c r="Z9" i="326"/>
  <c r="Y9" i="326"/>
  <c r="X9" i="326"/>
  <c r="W9" i="326"/>
  <c r="V9" i="326"/>
  <c r="U9" i="326"/>
  <c r="T9" i="326"/>
  <c r="S9" i="326"/>
  <c r="R9" i="326"/>
  <c r="Q9" i="326"/>
  <c r="P9" i="326"/>
  <c r="O9" i="326"/>
  <c r="N9" i="326"/>
  <c r="M9" i="326"/>
  <c r="L9" i="326"/>
  <c r="K9" i="326"/>
  <c r="J9" i="326"/>
  <c r="I9" i="326"/>
  <c r="H9" i="326"/>
  <c r="G9" i="326"/>
  <c r="F9" i="326"/>
  <c r="E9" i="326"/>
  <c r="D9" i="326"/>
  <c r="C9" i="326"/>
  <c r="AI8" i="326"/>
  <c r="AH8" i="326"/>
  <c r="AG8" i="326"/>
  <c r="AF8" i="326"/>
  <c r="AE8" i="326"/>
  <c r="AD8" i="326"/>
  <c r="AC8" i="326"/>
  <c r="AB8" i="326"/>
  <c r="AA8" i="326"/>
  <c r="Z8" i="326"/>
  <c r="Y8" i="326"/>
  <c r="X8" i="326"/>
  <c r="W8" i="326"/>
  <c r="V8" i="326"/>
  <c r="U8" i="326"/>
  <c r="T8" i="326"/>
  <c r="S8" i="326"/>
  <c r="R8" i="326"/>
  <c r="Q8" i="326"/>
  <c r="P8" i="326"/>
  <c r="O8" i="326"/>
  <c r="N8" i="326"/>
  <c r="M8" i="326"/>
  <c r="L8" i="326"/>
  <c r="K8" i="326"/>
  <c r="J8" i="326"/>
  <c r="I8" i="326"/>
  <c r="H8" i="326"/>
  <c r="G8" i="326"/>
  <c r="F8" i="326"/>
  <c r="E8" i="326"/>
  <c r="D8" i="326"/>
  <c r="C8" i="326"/>
  <c r="M80" i="322"/>
  <c r="L80" i="322"/>
  <c r="K80" i="322"/>
  <c r="J80" i="322"/>
  <c r="I80" i="322"/>
  <c r="H80" i="322"/>
  <c r="G80" i="322"/>
  <c r="F80" i="322"/>
  <c r="E80" i="322"/>
  <c r="D80" i="322"/>
  <c r="C80" i="322"/>
  <c r="M79" i="322"/>
  <c r="L79" i="322"/>
  <c r="K79" i="322"/>
  <c r="J79" i="322"/>
  <c r="I79" i="322"/>
  <c r="H79" i="322"/>
  <c r="G79" i="322"/>
  <c r="F79" i="322"/>
  <c r="E79" i="322"/>
  <c r="D79" i="322"/>
  <c r="C79" i="322"/>
  <c r="M78" i="322"/>
  <c r="L78" i="322"/>
  <c r="K78" i="322"/>
  <c r="J78" i="322"/>
  <c r="I78" i="322"/>
  <c r="H78" i="322"/>
  <c r="G78" i="322"/>
  <c r="F78" i="322"/>
  <c r="E78" i="322"/>
  <c r="D78" i="322"/>
  <c r="C78" i="322"/>
  <c r="M77" i="322"/>
  <c r="L77" i="322"/>
  <c r="K77" i="322"/>
  <c r="J77" i="322"/>
  <c r="I77" i="322"/>
  <c r="H77" i="322"/>
  <c r="G77" i="322"/>
  <c r="F77" i="322"/>
  <c r="E77" i="322"/>
  <c r="D77" i="322"/>
  <c r="C77" i="322"/>
  <c r="M76" i="322"/>
  <c r="L76" i="322"/>
  <c r="K76" i="322"/>
  <c r="J76" i="322"/>
  <c r="I76" i="322"/>
  <c r="H76" i="322"/>
  <c r="G76" i="322"/>
  <c r="F76" i="322"/>
  <c r="E76" i="322"/>
  <c r="D76" i="322"/>
  <c r="C76" i="322"/>
  <c r="M75" i="322"/>
  <c r="L75" i="322"/>
  <c r="K75" i="322"/>
  <c r="J75" i="322"/>
  <c r="I75" i="322"/>
  <c r="H75" i="322"/>
  <c r="G75" i="322"/>
  <c r="F75" i="322"/>
  <c r="E75" i="322"/>
  <c r="D75" i="322"/>
  <c r="C75" i="322"/>
  <c r="M74" i="322"/>
  <c r="L74" i="322"/>
  <c r="K74" i="322"/>
  <c r="J74" i="322"/>
  <c r="I74" i="322"/>
  <c r="H74" i="322"/>
  <c r="G74" i="322"/>
  <c r="F74" i="322"/>
  <c r="E74" i="322"/>
  <c r="D74" i="322"/>
  <c r="C74" i="322"/>
  <c r="M73" i="322"/>
  <c r="L73" i="322"/>
  <c r="K73" i="322"/>
  <c r="J73" i="322"/>
  <c r="I73" i="322"/>
  <c r="H73" i="322"/>
  <c r="G73" i="322"/>
  <c r="F73" i="322"/>
  <c r="E73" i="322"/>
  <c r="D73" i="322"/>
  <c r="C73" i="322"/>
  <c r="M72" i="322"/>
  <c r="L72" i="322"/>
  <c r="K72" i="322"/>
  <c r="J72" i="322"/>
  <c r="I72" i="322"/>
  <c r="H72" i="322"/>
  <c r="G72" i="322"/>
  <c r="F72" i="322"/>
  <c r="E72" i="322"/>
  <c r="D72" i="322"/>
  <c r="C72" i="322"/>
  <c r="M71" i="322"/>
  <c r="L71" i="322"/>
  <c r="K71" i="322"/>
  <c r="J71" i="322"/>
  <c r="I71" i="322"/>
  <c r="H71" i="322"/>
  <c r="G71" i="322"/>
  <c r="F71" i="322"/>
  <c r="E71" i="322"/>
  <c r="D71" i="322"/>
  <c r="C71" i="322"/>
  <c r="M70" i="322"/>
  <c r="L70" i="322"/>
  <c r="K70" i="322"/>
  <c r="J70" i="322"/>
  <c r="I70" i="322"/>
  <c r="H70" i="322"/>
  <c r="G70" i="322"/>
  <c r="F70" i="322"/>
  <c r="E70" i="322"/>
  <c r="D70" i="322"/>
  <c r="C70" i="322"/>
  <c r="M69" i="322"/>
  <c r="L69" i="322"/>
  <c r="K69" i="322"/>
  <c r="J69" i="322"/>
  <c r="I69" i="322"/>
  <c r="H69" i="322"/>
  <c r="G69" i="322"/>
  <c r="F69" i="322"/>
  <c r="E69" i="322"/>
  <c r="D69" i="322"/>
  <c r="C69" i="322"/>
  <c r="M68" i="322"/>
  <c r="L68" i="322"/>
  <c r="K68" i="322"/>
  <c r="J68" i="322"/>
  <c r="I68" i="322"/>
  <c r="H68" i="322"/>
  <c r="G68" i="322"/>
  <c r="F68" i="322"/>
  <c r="E68" i="322"/>
  <c r="D68" i="322"/>
  <c r="C68" i="322"/>
  <c r="M67" i="322"/>
  <c r="L67" i="322"/>
  <c r="K67" i="322"/>
  <c r="J67" i="322"/>
  <c r="I67" i="322"/>
  <c r="H67" i="322"/>
  <c r="G67" i="322"/>
  <c r="F67" i="322"/>
  <c r="E67" i="322"/>
  <c r="D67" i="322"/>
  <c r="C67" i="322"/>
  <c r="M66" i="322"/>
  <c r="L66" i="322"/>
  <c r="K66" i="322"/>
  <c r="J66" i="322"/>
  <c r="I66" i="322"/>
  <c r="H66" i="322"/>
  <c r="G66" i="322"/>
  <c r="F66" i="322"/>
  <c r="E66" i="322"/>
  <c r="D66" i="322"/>
  <c r="C66" i="322"/>
  <c r="M60" i="322"/>
  <c r="L60" i="322"/>
  <c r="K60" i="322"/>
  <c r="J60" i="322"/>
  <c r="I60" i="322"/>
  <c r="H60" i="322"/>
  <c r="G60" i="322"/>
  <c r="F60" i="322"/>
  <c r="E60" i="322"/>
  <c r="D60" i="322"/>
  <c r="C60" i="322"/>
  <c r="M59" i="322"/>
  <c r="L59" i="322"/>
  <c r="K59" i="322"/>
  <c r="J59" i="322"/>
  <c r="I59" i="322"/>
  <c r="H59" i="322"/>
  <c r="G59" i="322"/>
  <c r="F59" i="322"/>
  <c r="E59" i="322"/>
  <c r="D59" i="322"/>
  <c r="C59" i="322"/>
  <c r="M58" i="322"/>
  <c r="L58" i="322"/>
  <c r="K58" i="322"/>
  <c r="J58" i="322"/>
  <c r="I58" i="322"/>
  <c r="H58" i="322"/>
  <c r="G58" i="322"/>
  <c r="F58" i="322"/>
  <c r="E58" i="322"/>
  <c r="D58" i="322"/>
  <c r="C58" i="322"/>
  <c r="M57" i="322"/>
  <c r="L57" i="322"/>
  <c r="K57" i="322"/>
  <c r="J57" i="322"/>
  <c r="I57" i="322"/>
  <c r="H57" i="322"/>
  <c r="G57" i="322"/>
  <c r="F57" i="322"/>
  <c r="E57" i="322"/>
  <c r="D57" i="322"/>
  <c r="C57" i="322"/>
  <c r="M56" i="322"/>
  <c r="L56" i="322"/>
  <c r="K56" i="322"/>
  <c r="J56" i="322"/>
  <c r="I56" i="322"/>
  <c r="H56" i="322"/>
  <c r="G56" i="322"/>
  <c r="F56" i="322"/>
  <c r="E56" i="322"/>
  <c r="D56" i="322"/>
  <c r="C56" i="322"/>
  <c r="M55" i="322"/>
  <c r="L55" i="322"/>
  <c r="K55" i="322"/>
  <c r="J55" i="322"/>
  <c r="I55" i="322"/>
  <c r="H55" i="322"/>
  <c r="G55" i="322"/>
  <c r="F55" i="322"/>
  <c r="E55" i="322"/>
  <c r="D55" i="322"/>
  <c r="C55" i="322"/>
  <c r="M54" i="322"/>
  <c r="L54" i="322"/>
  <c r="K54" i="322"/>
  <c r="J54" i="322"/>
  <c r="I54" i="322"/>
  <c r="H54" i="322"/>
  <c r="G54" i="322"/>
  <c r="F54" i="322"/>
  <c r="E54" i="322"/>
  <c r="D54" i="322"/>
  <c r="C54" i="322"/>
  <c r="M53" i="322"/>
  <c r="L53" i="322"/>
  <c r="K53" i="322"/>
  <c r="J53" i="322"/>
  <c r="I53" i="322"/>
  <c r="H53" i="322"/>
  <c r="G53" i="322"/>
  <c r="F53" i="322"/>
  <c r="E53" i="322"/>
  <c r="D53" i="322"/>
  <c r="C53" i="322"/>
  <c r="M52" i="322"/>
  <c r="L52" i="322"/>
  <c r="K52" i="322"/>
  <c r="J52" i="322"/>
  <c r="I52" i="322"/>
  <c r="H52" i="322"/>
  <c r="G52" i="322"/>
  <c r="F52" i="322"/>
  <c r="E52" i="322"/>
  <c r="D52" i="322"/>
  <c r="C52" i="322"/>
  <c r="M51" i="322"/>
  <c r="L51" i="322"/>
  <c r="K51" i="322"/>
  <c r="J51" i="322"/>
  <c r="I51" i="322"/>
  <c r="H51" i="322"/>
  <c r="G51" i="322"/>
  <c r="F51" i="322"/>
  <c r="E51" i="322"/>
  <c r="D51" i="322"/>
  <c r="C51" i="322"/>
  <c r="M50" i="322"/>
  <c r="L50" i="322"/>
  <c r="K50" i="322"/>
  <c r="J50" i="322"/>
  <c r="I50" i="322"/>
  <c r="H50" i="322"/>
  <c r="G50" i="322"/>
  <c r="F50" i="322"/>
  <c r="E50" i="322"/>
  <c r="D50" i="322"/>
  <c r="C50" i="322"/>
  <c r="M49" i="322"/>
  <c r="L49" i="322"/>
  <c r="K49" i="322"/>
  <c r="J49" i="322"/>
  <c r="I49" i="322"/>
  <c r="H49" i="322"/>
  <c r="G49" i="322"/>
  <c r="F49" i="322"/>
  <c r="E49" i="322"/>
  <c r="D49" i="322"/>
  <c r="C49" i="322"/>
  <c r="M48" i="322"/>
  <c r="L48" i="322"/>
  <c r="K48" i="322"/>
  <c r="J48" i="322"/>
  <c r="I48" i="322"/>
  <c r="H48" i="322"/>
  <c r="G48" i="322"/>
  <c r="F48" i="322"/>
  <c r="E48" i="322"/>
  <c r="D48" i="322"/>
  <c r="C48" i="322"/>
  <c r="M47" i="322"/>
  <c r="L47" i="322"/>
  <c r="K47" i="322"/>
  <c r="J47" i="322"/>
  <c r="I47" i="322"/>
  <c r="H47" i="322"/>
  <c r="G47" i="322"/>
  <c r="F47" i="322"/>
  <c r="E47" i="322"/>
  <c r="D47" i="322"/>
  <c r="C47" i="322"/>
  <c r="M46" i="322"/>
  <c r="L46" i="322"/>
  <c r="K46" i="322"/>
  <c r="J46" i="322"/>
  <c r="I46" i="322"/>
  <c r="H46" i="322"/>
  <c r="G46" i="322"/>
  <c r="F46" i="322"/>
  <c r="E46" i="322"/>
  <c r="D46" i="322"/>
  <c r="C46" i="322"/>
  <c r="AJ40" i="322"/>
  <c r="AI40" i="322"/>
  <c r="AH40" i="322"/>
  <c r="AG40" i="322"/>
  <c r="AF40" i="322"/>
  <c r="AE40" i="322"/>
  <c r="AD40" i="322"/>
  <c r="AC40" i="322"/>
  <c r="AB40" i="322"/>
  <c r="AA40" i="322"/>
  <c r="Z40" i="322"/>
  <c r="AJ39" i="322"/>
  <c r="AI39" i="322"/>
  <c r="AH39" i="322"/>
  <c r="AG39" i="322"/>
  <c r="AF39" i="322"/>
  <c r="AE39" i="322"/>
  <c r="AD39" i="322"/>
  <c r="AC39" i="322"/>
  <c r="AB39" i="322"/>
  <c r="AA39" i="322"/>
  <c r="Z39" i="322"/>
  <c r="AJ38" i="322"/>
  <c r="AI38" i="322"/>
  <c r="AH38" i="322"/>
  <c r="AG38" i="322"/>
  <c r="AF38" i="322"/>
  <c r="AE38" i="322"/>
  <c r="AD38" i="322"/>
  <c r="AC38" i="322"/>
  <c r="AB38" i="322"/>
  <c r="AA38" i="322"/>
  <c r="Z38" i="322"/>
  <c r="AJ37" i="322"/>
  <c r="AI37" i="322"/>
  <c r="AH37" i="322"/>
  <c r="AG37" i="322"/>
  <c r="AF37" i="322"/>
  <c r="AE37" i="322"/>
  <c r="AD37" i="322"/>
  <c r="AC37" i="322"/>
  <c r="AB37" i="322"/>
  <c r="AA37" i="322"/>
  <c r="Z37" i="322"/>
  <c r="AJ36" i="322"/>
  <c r="AI36" i="322"/>
  <c r="AH36" i="322"/>
  <c r="AG36" i="322"/>
  <c r="AF36" i="322"/>
  <c r="AE36" i="322"/>
  <c r="AD36" i="322"/>
  <c r="AC36" i="322"/>
  <c r="AB36" i="322"/>
  <c r="AA36" i="322"/>
  <c r="Z36" i="322"/>
  <c r="AJ35" i="322"/>
  <c r="AI35" i="322"/>
  <c r="AH35" i="322"/>
  <c r="AG35" i="322"/>
  <c r="AF35" i="322"/>
  <c r="AE35" i="322"/>
  <c r="AD35" i="322"/>
  <c r="AC35" i="322"/>
  <c r="AB35" i="322"/>
  <c r="AA35" i="322"/>
  <c r="Z35" i="322"/>
  <c r="AJ34" i="322"/>
  <c r="AI34" i="322"/>
  <c r="AH34" i="322"/>
  <c r="AG34" i="322"/>
  <c r="AF34" i="322"/>
  <c r="AE34" i="322"/>
  <c r="AD34" i="322"/>
  <c r="AC34" i="322"/>
  <c r="AB34" i="322"/>
  <c r="AA34" i="322"/>
  <c r="Z34" i="322"/>
  <c r="AJ33" i="322"/>
  <c r="AI33" i="322"/>
  <c r="AH33" i="322"/>
  <c r="AG33" i="322"/>
  <c r="AF33" i="322"/>
  <c r="AE33" i="322"/>
  <c r="AD33" i="322"/>
  <c r="AC33" i="322"/>
  <c r="AB33" i="322"/>
  <c r="AA33" i="322"/>
  <c r="Z33" i="322"/>
  <c r="AJ32" i="322"/>
  <c r="AI32" i="322"/>
  <c r="AH32" i="322"/>
  <c r="AG32" i="322"/>
  <c r="AF32" i="322"/>
  <c r="AE32" i="322"/>
  <c r="AD32" i="322"/>
  <c r="AC32" i="322"/>
  <c r="AB32" i="322"/>
  <c r="AA32" i="322"/>
  <c r="Z32" i="322"/>
  <c r="AJ31" i="322"/>
  <c r="AI31" i="322"/>
  <c r="AH31" i="322"/>
  <c r="AG31" i="322"/>
  <c r="AF31" i="322"/>
  <c r="AE31" i="322"/>
  <c r="AD31" i="322"/>
  <c r="AC31" i="322"/>
  <c r="AB31" i="322"/>
  <c r="AA31" i="322"/>
  <c r="Z31" i="322"/>
  <c r="AJ30" i="322"/>
  <c r="AI30" i="322"/>
  <c r="AH30" i="322"/>
  <c r="AG30" i="322"/>
  <c r="AF30" i="322"/>
  <c r="AE30" i="322"/>
  <c r="AD30" i="322"/>
  <c r="AC30" i="322"/>
  <c r="AB30" i="322"/>
  <c r="AA30" i="322"/>
  <c r="Z30" i="322"/>
  <c r="AJ29" i="322"/>
  <c r="AI29" i="322"/>
  <c r="AH29" i="322"/>
  <c r="AG29" i="322"/>
  <c r="AF29" i="322"/>
  <c r="AE29" i="322"/>
  <c r="AD29" i="322"/>
  <c r="AC29" i="322"/>
  <c r="AB29" i="322"/>
  <c r="AA29" i="322"/>
  <c r="Z29" i="322"/>
  <c r="AJ28" i="322"/>
  <c r="AI28" i="322"/>
  <c r="AH28" i="322"/>
  <c r="AG28" i="322"/>
  <c r="AF28" i="322"/>
  <c r="AE28" i="322"/>
  <c r="AD28" i="322"/>
  <c r="AC28" i="322"/>
  <c r="AB28" i="322"/>
  <c r="AA28" i="322"/>
  <c r="Z28" i="322"/>
  <c r="AJ27" i="322"/>
  <c r="AI27" i="322"/>
  <c r="AH27" i="322"/>
  <c r="AG27" i="322"/>
  <c r="AF27" i="322"/>
  <c r="AE27" i="322"/>
  <c r="AD27" i="322"/>
  <c r="AC27" i="322"/>
  <c r="AB27" i="322"/>
  <c r="AA27" i="322"/>
  <c r="Z27" i="322"/>
  <c r="AJ26" i="322"/>
  <c r="AI26" i="322"/>
  <c r="AH26" i="322"/>
  <c r="AG26" i="322"/>
  <c r="AF26" i="322"/>
  <c r="AE26" i="322"/>
  <c r="AD26" i="322"/>
  <c r="AC26" i="322"/>
  <c r="AB26" i="322"/>
  <c r="AA26" i="322"/>
  <c r="Z26" i="322"/>
  <c r="E142" i="320" l="1"/>
  <c r="D142" i="320"/>
  <c r="C142" i="320"/>
  <c r="E141" i="320"/>
  <c r="D141" i="320"/>
  <c r="C141" i="320"/>
  <c r="E140" i="320"/>
  <c r="D140" i="320"/>
  <c r="C140" i="320"/>
  <c r="E139" i="320"/>
  <c r="D139" i="320"/>
  <c r="C139" i="320"/>
  <c r="E138" i="320"/>
  <c r="D138" i="320"/>
  <c r="C138" i="320"/>
  <c r="E137" i="320"/>
  <c r="D137" i="320"/>
  <c r="C137" i="320"/>
  <c r="E136" i="320"/>
  <c r="D136" i="320"/>
  <c r="C136" i="320"/>
  <c r="E135" i="320"/>
  <c r="D135" i="320"/>
  <c r="C135" i="320"/>
  <c r="E134" i="320"/>
  <c r="D134" i="320"/>
  <c r="C134" i="320"/>
  <c r="E133" i="320"/>
  <c r="D133" i="320"/>
  <c r="C133" i="320"/>
  <c r="E132" i="320"/>
  <c r="D132" i="320"/>
  <c r="C132" i="320"/>
  <c r="E131" i="320"/>
  <c r="D131" i="320"/>
  <c r="C131" i="320"/>
  <c r="E130" i="320"/>
  <c r="D130" i="320"/>
  <c r="C130" i="320"/>
  <c r="E129" i="320"/>
  <c r="D129" i="320"/>
  <c r="C129" i="320"/>
  <c r="E128" i="320"/>
  <c r="D128" i="320"/>
  <c r="C128" i="320"/>
  <c r="H122" i="320"/>
  <c r="G122" i="320"/>
  <c r="F122" i="320"/>
  <c r="E122" i="320"/>
  <c r="D122" i="320"/>
  <c r="C122" i="320"/>
  <c r="H121" i="320"/>
  <c r="G121" i="320"/>
  <c r="F121" i="320"/>
  <c r="E121" i="320"/>
  <c r="D121" i="320"/>
  <c r="C121" i="320"/>
  <c r="H120" i="320"/>
  <c r="G120" i="320"/>
  <c r="F120" i="320"/>
  <c r="E120" i="320"/>
  <c r="D120" i="320"/>
  <c r="C120" i="320"/>
  <c r="H119" i="320"/>
  <c r="G119" i="320"/>
  <c r="F119" i="320"/>
  <c r="E119" i="320"/>
  <c r="D119" i="320"/>
  <c r="C119" i="320"/>
  <c r="H118" i="320"/>
  <c r="G118" i="320"/>
  <c r="F118" i="320"/>
  <c r="E118" i="320"/>
  <c r="D118" i="320"/>
  <c r="C118" i="320"/>
  <c r="H117" i="320"/>
  <c r="G117" i="320"/>
  <c r="F117" i="320"/>
  <c r="E117" i="320"/>
  <c r="D117" i="320"/>
  <c r="C117" i="320"/>
  <c r="H116" i="320"/>
  <c r="G116" i="320"/>
  <c r="F116" i="320"/>
  <c r="E116" i="320"/>
  <c r="D116" i="320"/>
  <c r="C116" i="320"/>
  <c r="H115" i="320"/>
  <c r="G115" i="320"/>
  <c r="F115" i="320"/>
  <c r="E115" i="320"/>
  <c r="D115" i="320"/>
  <c r="C115" i="320"/>
  <c r="H114" i="320"/>
  <c r="G114" i="320"/>
  <c r="F114" i="320"/>
  <c r="E114" i="320"/>
  <c r="D114" i="320"/>
  <c r="C114" i="320"/>
  <c r="H113" i="320"/>
  <c r="G113" i="320"/>
  <c r="F113" i="320"/>
  <c r="E113" i="320"/>
  <c r="D113" i="320"/>
  <c r="C113" i="320"/>
  <c r="H112" i="320"/>
  <c r="G112" i="320"/>
  <c r="F112" i="320"/>
  <c r="E112" i="320"/>
  <c r="D112" i="320"/>
  <c r="C112" i="320"/>
  <c r="H111" i="320"/>
  <c r="G111" i="320"/>
  <c r="F111" i="320"/>
  <c r="E111" i="320"/>
  <c r="D111" i="320"/>
  <c r="C111" i="320"/>
  <c r="H110" i="320"/>
  <c r="G110" i="320"/>
  <c r="F110" i="320"/>
  <c r="E110" i="320"/>
  <c r="D110" i="320"/>
  <c r="C110" i="320"/>
  <c r="H109" i="320"/>
  <c r="G109" i="320"/>
  <c r="F109" i="320"/>
  <c r="E109" i="320"/>
  <c r="D109" i="320"/>
  <c r="C109" i="320"/>
  <c r="H108" i="320"/>
  <c r="G108" i="320"/>
  <c r="F108" i="320"/>
  <c r="E108" i="320"/>
  <c r="D108" i="320"/>
  <c r="C108" i="320"/>
  <c r="H102" i="320"/>
  <c r="G102" i="320"/>
  <c r="F102" i="320"/>
  <c r="E102" i="320"/>
  <c r="D102" i="320"/>
  <c r="C102" i="320"/>
  <c r="H101" i="320"/>
  <c r="G101" i="320"/>
  <c r="F101" i="320"/>
  <c r="E101" i="320"/>
  <c r="D101" i="320"/>
  <c r="C101" i="320"/>
  <c r="H100" i="320"/>
  <c r="G100" i="320"/>
  <c r="F100" i="320"/>
  <c r="E100" i="320"/>
  <c r="D100" i="320"/>
  <c r="C100" i="320"/>
  <c r="H99" i="320"/>
  <c r="G99" i="320"/>
  <c r="F99" i="320"/>
  <c r="E99" i="320"/>
  <c r="D99" i="320"/>
  <c r="C99" i="320"/>
  <c r="H98" i="320"/>
  <c r="G98" i="320"/>
  <c r="F98" i="320"/>
  <c r="E98" i="320"/>
  <c r="D98" i="320"/>
  <c r="C98" i="320"/>
  <c r="H97" i="320"/>
  <c r="G97" i="320"/>
  <c r="F97" i="320"/>
  <c r="E97" i="320"/>
  <c r="D97" i="320"/>
  <c r="C97" i="320"/>
  <c r="H96" i="320"/>
  <c r="G96" i="320"/>
  <c r="F96" i="320"/>
  <c r="E96" i="320"/>
  <c r="D96" i="320"/>
  <c r="C96" i="320"/>
  <c r="H95" i="320"/>
  <c r="G95" i="320"/>
  <c r="F95" i="320"/>
  <c r="E95" i="320"/>
  <c r="D95" i="320"/>
  <c r="C95" i="320"/>
  <c r="H94" i="320"/>
  <c r="G94" i="320"/>
  <c r="F94" i="320"/>
  <c r="E94" i="320"/>
  <c r="D94" i="320"/>
  <c r="C94" i="320"/>
  <c r="H93" i="320"/>
  <c r="G93" i="320"/>
  <c r="F93" i="320"/>
  <c r="E93" i="320"/>
  <c r="D93" i="320"/>
  <c r="C93" i="320"/>
  <c r="H92" i="320"/>
  <c r="G92" i="320"/>
  <c r="F92" i="320"/>
  <c r="E92" i="320"/>
  <c r="D92" i="320"/>
  <c r="C92" i="320"/>
  <c r="H91" i="320"/>
  <c r="G91" i="320"/>
  <c r="F91" i="320"/>
  <c r="E91" i="320"/>
  <c r="D91" i="320"/>
  <c r="C91" i="320"/>
  <c r="H90" i="320"/>
  <c r="G90" i="320"/>
  <c r="F90" i="320"/>
  <c r="E90" i="320"/>
  <c r="D90" i="320"/>
  <c r="C90" i="320"/>
  <c r="H89" i="320"/>
  <c r="G89" i="320"/>
  <c r="F89" i="320"/>
  <c r="E89" i="320"/>
  <c r="D89" i="320"/>
  <c r="C89" i="320"/>
  <c r="H88" i="320"/>
  <c r="G88" i="320"/>
  <c r="F88" i="320"/>
  <c r="E88" i="320"/>
  <c r="D88" i="320"/>
  <c r="C88" i="320"/>
  <c r="H82" i="320"/>
  <c r="G82" i="320"/>
  <c r="F82" i="320"/>
  <c r="E82" i="320"/>
  <c r="D82" i="320"/>
  <c r="C82" i="320"/>
  <c r="H81" i="320"/>
  <c r="G81" i="320"/>
  <c r="F81" i="320"/>
  <c r="E81" i="320"/>
  <c r="D81" i="320"/>
  <c r="C81" i="320"/>
  <c r="H80" i="320"/>
  <c r="G80" i="320"/>
  <c r="F80" i="320"/>
  <c r="E80" i="320"/>
  <c r="D80" i="320"/>
  <c r="C80" i="320"/>
  <c r="H79" i="320"/>
  <c r="G79" i="320"/>
  <c r="F79" i="320"/>
  <c r="E79" i="320"/>
  <c r="D79" i="320"/>
  <c r="C79" i="320"/>
  <c r="H78" i="320"/>
  <c r="G78" i="320"/>
  <c r="F78" i="320"/>
  <c r="E78" i="320"/>
  <c r="D78" i="320"/>
  <c r="C78" i="320"/>
  <c r="H77" i="320"/>
  <c r="G77" i="320"/>
  <c r="F77" i="320"/>
  <c r="E77" i="320"/>
  <c r="D77" i="320"/>
  <c r="C77" i="320"/>
  <c r="H76" i="320"/>
  <c r="G76" i="320"/>
  <c r="F76" i="320"/>
  <c r="E76" i="320"/>
  <c r="D76" i="320"/>
  <c r="C76" i="320"/>
  <c r="H75" i="320"/>
  <c r="G75" i="320"/>
  <c r="F75" i="320"/>
  <c r="E75" i="320"/>
  <c r="D75" i="320"/>
  <c r="C75" i="320"/>
  <c r="H74" i="320"/>
  <c r="G74" i="320"/>
  <c r="F74" i="320"/>
  <c r="E74" i="320"/>
  <c r="D74" i="320"/>
  <c r="C74" i="320"/>
  <c r="H73" i="320"/>
  <c r="G73" i="320"/>
  <c r="F73" i="320"/>
  <c r="E73" i="320"/>
  <c r="D73" i="320"/>
  <c r="C73" i="320"/>
  <c r="H72" i="320"/>
  <c r="G72" i="320"/>
  <c r="F72" i="320"/>
  <c r="E72" i="320"/>
  <c r="D72" i="320"/>
  <c r="C72" i="320"/>
  <c r="H71" i="320"/>
  <c r="G71" i="320"/>
  <c r="F71" i="320"/>
  <c r="E71" i="320"/>
  <c r="D71" i="320"/>
  <c r="C71" i="320"/>
  <c r="H70" i="320"/>
  <c r="G70" i="320"/>
  <c r="F70" i="320"/>
  <c r="E70" i="320"/>
  <c r="D70" i="320"/>
  <c r="C70" i="320"/>
  <c r="H69" i="320"/>
  <c r="G69" i="320"/>
  <c r="F69" i="320"/>
  <c r="E69" i="320"/>
  <c r="D69" i="320"/>
  <c r="C69" i="320"/>
  <c r="H68" i="320"/>
  <c r="G68" i="320"/>
  <c r="F68" i="320"/>
  <c r="E68" i="320"/>
  <c r="D68" i="320"/>
  <c r="C68" i="320"/>
  <c r="H62" i="320"/>
  <c r="G62" i="320"/>
  <c r="F62" i="320"/>
  <c r="E62" i="320"/>
  <c r="D62" i="320"/>
  <c r="C62" i="320"/>
  <c r="H61" i="320"/>
  <c r="G61" i="320"/>
  <c r="F61" i="320"/>
  <c r="E61" i="320"/>
  <c r="D61" i="320"/>
  <c r="C61" i="320"/>
  <c r="H60" i="320"/>
  <c r="G60" i="320"/>
  <c r="F60" i="320"/>
  <c r="E60" i="320"/>
  <c r="D60" i="320"/>
  <c r="C60" i="320"/>
  <c r="H59" i="320"/>
  <c r="G59" i="320"/>
  <c r="F59" i="320"/>
  <c r="E59" i="320"/>
  <c r="D59" i="320"/>
  <c r="C59" i="320"/>
  <c r="H58" i="320"/>
  <c r="G58" i="320"/>
  <c r="F58" i="320"/>
  <c r="E58" i="320"/>
  <c r="D58" i="320"/>
  <c r="C58" i="320"/>
  <c r="H57" i="320"/>
  <c r="G57" i="320"/>
  <c r="F57" i="320"/>
  <c r="E57" i="320"/>
  <c r="D57" i="320"/>
  <c r="C57" i="320"/>
  <c r="H56" i="320"/>
  <c r="G56" i="320"/>
  <c r="F56" i="320"/>
  <c r="E56" i="320"/>
  <c r="D56" i="320"/>
  <c r="C56" i="320"/>
  <c r="H55" i="320"/>
  <c r="G55" i="320"/>
  <c r="F55" i="320"/>
  <c r="E55" i="320"/>
  <c r="D55" i="320"/>
  <c r="C55" i="320"/>
  <c r="H54" i="320"/>
  <c r="G54" i="320"/>
  <c r="F54" i="320"/>
  <c r="E54" i="320"/>
  <c r="D54" i="320"/>
  <c r="C54" i="320"/>
  <c r="H53" i="320"/>
  <c r="G53" i="320"/>
  <c r="F53" i="320"/>
  <c r="E53" i="320"/>
  <c r="D53" i="320"/>
  <c r="C53" i="320"/>
  <c r="H52" i="320"/>
  <c r="G52" i="320"/>
  <c r="F52" i="320"/>
  <c r="E52" i="320"/>
  <c r="D52" i="320"/>
  <c r="C52" i="320"/>
  <c r="H51" i="320"/>
  <c r="G51" i="320"/>
  <c r="F51" i="320"/>
  <c r="E51" i="320"/>
  <c r="D51" i="320"/>
  <c r="C51" i="320"/>
  <c r="H50" i="320"/>
  <c r="G50" i="320"/>
  <c r="F50" i="320"/>
  <c r="E50" i="320"/>
  <c r="D50" i="320"/>
  <c r="C50" i="320"/>
  <c r="H49" i="320"/>
  <c r="G49" i="320"/>
  <c r="F49" i="320"/>
  <c r="E49" i="320"/>
  <c r="D49" i="320"/>
  <c r="C49" i="320"/>
  <c r="H48" i="320"/>
  <c r="G48" i="320"/>
  <c r="F48" i="320"/>
  <c r="E48" i="320"/>
  <c r="D48" i="320"/>
  <c r="C48" i="320"/>
  <c r="H42" i="320"/>
  <c r="G42" i="320"/>
  <c r="F42" i="320"/>
  <c r="E42" i="320"/>
  <c r="D42" i="320"/>
  <c r="C42" i="320"/>
  <c r="H41" i="320"/>
  <c r="G41" i="320"/>
  <c r="F41" i="320"/>
  <c r="E41" i="320"/>
  <c r="D41" i="320"/>
  <c r="C41" i="320"/>
  <c r="H40" i="320"/>
  <c r="G40" i="320"/>
  <c r="F40" i="320"/>
  <c r="E40" i="320"/>
  <c r="D40" i="320"/>
  <c r="C40" i="320"/>
  <c r="H39" i="320"/>
  <c r="G39" i="320"/>
  <c r="F39" i="320"/>
  <c r="E39" i="320"/>
  <c r="D39" i="320"/>
  <c r="C39" i="320"/>
  <c r="H38" i="320"/>
  <c r="G38" i="320"/>
  <c r="F38" i="320"/>
  <c r="E38" i="320"/>
  <c r="D38" i="320"/>
  <c r="C38" i="320"/>
  <c r="H37" i="320"/>
  <c r="G37" i="320"/>
  <c r="F37" i="320"/>
  <c r="E37" i="320"/>
  <c r="D37" i="320"/>
  <c r="C37" i="320"/>
  <c r="H36" i="320"/>
  <c r="G36" i="320"/>
  <c r="F36" i="320"/>
  <c r="E36" i="320"/>
  <c r="D36" i="320"/>
  <c r="C36" i="320"/>
  <c r="H35" i="320"/>
  <c r="G35" i="320"/>
  <c r="F35" i="320"/>
  <c r="E35" i="320"/>
  <c r="D35" i="320"/>
  <c r="C35" i="320"/>
  <c r="H34" i="320"/>
  <c r="G34" i="320"/>
  <c r="F34" i="320"/>
  <c r="E34" i="320"/>
  <c r="D34" i="320"/>
  <c r="C34" i="320"/>
  <c r="H33" i="320"/>
  <c r="G33" i="320"/>
  <c r="F33" i="320"/>
  <c r="E33" i="320"/>
  <c r="D33" i="320"/>
  <c r="C33" i="320"/>
  <c r="H32" i="320"/>
  <c r="G32" i="320"/>
  <c r="F32" i="320"/>
  <c r="E32" i="320"/>
  <c r="D32" i="320"/>
  <c r="C32" i="320"/>
  <c r="H31" i="320"/>
  <c r="G31" i="320"/>
  <c r="F31" i="320"/>
  <c r="E31" i="320"/>
  <c r="D31" i="320"/>
  <c r="C31" i="320"/>
  <c r="H30" i="320"/>
  <c r="G30" i="320"/>
  <c r="F30" i="320"/>
  <c r="E30" i="320"/>
  <c r="D30" i="320"/>
  <c r="C30" i="320"/>
  <c r="H29" i="320"/>
  <c r="G29" i="320"/>
  <c r="F29" i="320"/>
  <c r="E29" i="320"/>
  <c r="D29" i="320"/>
  <c r="C29" i="320"/>
  <c r="H28" i="320"/>
  <c r="G28" i="320"/>
  <c r="F28" i="320"/>
  <c r="E28" i="320"/>
  <c r="D28" i="320"/>
  <c r="C28" i="320"/>
  <c r="AI22" i="320"/>
  <c r="AH22" i="320"/>
  <c r="AG22" i="320"/>
  <c r="AF22" i="320"/>
  <c r="AE22" i="320"/>
  <c r="AD22" i="320"/>
  <c r="AC22" i="320"/>
  <c r="AB22" i="320"/>
  <c r="AA22" i="320"/>
  <c r="Z22" i="320"/>
  <c r="Y22" i="320"/>
  <c r="X22" i="320"/>
  <c r="W22" i="320"/>
  <c r="V22" i="320"/>
  <c r="U22" i="320"/>
  <c r="T22" i="320"/>
  <c r="S22" i="320"/>
  <c r="R22" i="320"/>
  <c r="Q22" i="320"/>
  <c r="P22" i="320"/>
  <c r="O22" i="320"/>
  <c r="N22" i="320"/>
  <c r="M22" i="320"/>
  <c r="L22" i="320"/>
  <c r="K22" i="320"/>
  <c r="J22" i="320"/>
  <c r="I22" i="320"/>
  <c r="H22" i="320"/>
  <c r="G22" i="320"/>
  <c r="F22" i="320"/>
  <c r="E22" i="320"/>
  <c r="D22" i="320"/>
  <c r="C22" i="320"/>
  <c r="AI21" i="320"/>
  <c r="AH21" i="320"/>
  <c r="AG21" i="320"/>
  <c r="AF21" i="320"/>
  <c r="AE21" i="320"/>
  <c r="AD21" i="320"/>
  <c r="AC21" i="320"/>
  <c r="AB21" i="320"/>
  <c r="AA21" i="320"/>
  <c r="Z21" i="320"/>
  <c r="Y21" i="320"/>
  <c r="X21" i="320"/>
  <c r="W21" i="320"/>
  <c r="V21" i="320"/>
  <c r="U21" i="320"/>
  <c r="T21" i="320"/>
  <c r="S21" i="320"/>
  <c r="R21" i="320"/>
  <c r="Q21" i="320"/>
  <c r="P21" i="320"/>
  <c r="O21" i="320"/>
  <c r="N21" i="320"/>
  <c r="M21" i="320"/>
  <c r="L21" i="320"/>
  <c r="K21" i="320"/>
  <c r="J21" i="320"/>
  <c r="I21" i="320"/>
  <c r="H21" i="320"/>
  <c r="G21" i="320"/>
  <c r="F21" i="320"/>
  <c r="E21" i="320"/>
  <c r="D21" i="320"/>
  <c r="C21" i="320"/>
  <c r="AI20" i="320"/>
  <c r="AH20" i="320"/>
  <c r="AG20" i="320"/>
  <c r="AF20" i="320"/>
  <c r="AE20" i="320"/>
  <c r="AD20" i="320"/>
  <c r="AC20" i="320"/>
  <c r="AB20" i="320"/>
  <c r="AA20" i="320"/>
  <c r="Z20" i="320"/>
  <c r="Y20" i="320"/>
  <c r="X20" i="320"/>
  <c r="W20" i="320"/>
  <c r="V20" i="320"/>
  <c r="U20" i="320"/>
  <c r="T20" i="320"/>
  <c r="S20" i="320"/>
  <c r="R20" i="320"/>
  <c r="Q20" i="320"/>
  <c r="P20" i="320"/>
  <c r="O20" i="320"/>
  <c r="N20" i="320"/>
  <c r="M20" i="320"/>
  <c r="L20" i="320"/>
  <c r="K20" i="320"/>
  <c r="J20" i="320"/>
  <c r="I20" i="320"/>
  <c r="H20" i="320"/>
  <c r="G20" i="320"/>
  <c r="F20" i="320"/>
  <c r="E20" i="320"/>
  <c r="D20" i="320"/>
  <c r="C20" i="320"/>
  <c r="AI19" i="320"/>
  <c r="AH19" i="320"/>
  <c r="AG19" i="320"/>
  <c r="AF19" i="320"/>
  <c r="AE19" i="320"/>
  <c r="AD19" i="320"/>
  <c r="AC19" i="320"/>
  <c r="AB19" i="320"/>
  <c r="AA19" i="320"/>
  <c r="Z19" i="320"/>
  <c r="Y19" i="320"/>
  <c r="X19" i="320"/>
  <c r="W19" i="320"/>
  <c r="V19" i="320"/>
  <c r="U19" i="320"/>
  <c r="T19" i="320"/>
  <c r="S19" i="320"/>
  <c r="R19" i="320"/>
  <c r="Q19" i="320"/>
  <c r="P19" i="320"/>
  <c r="O19" i="320"/>
  <c r="N19" i="320"/>
  <c r="M19" i="320"/>
  <c r="L19" i="320"/>
  <c r="K19" i="320"/>
  <c r="J19" i="320"/>
  <c r="I19" i="320"/>
  <c r="H19" i="320"/>
  <c r="G19" i="320"/>
  <c r="F19" i="320"/>
  <c r="E19" i="320"/>
  <c r="D19" i="320"/>
  <c r="C19" i="320"/>
  <c r="AI18" i="320"/>
  <c r="AH18" i="320"/>
  <c r="AG18" i="320"/>
  <c r="AF18" i="320"/>
  <c r="AE18" i="320"/>
  <c r="AD18" i="320"/>
  <c r="AC18" i="320"/>
  <c r="AB18" i="320"/>
  <c r="AA18" i="320"/>
  <c r="Z18" i="320"/>
  <c r="Y18" i="320"/>
  <c r="X18" i="320"/>
  <c r="W18" i="320"/>
  <c r="V18" i="320"/>
  <c r="U18" i="320"/>
  <c r="T18" i="320"/>
  <c r="S18" i="320"/>
  <c r="R18" i="320"/>
  <c r="Q18" i="320"/>
  <c r="P18" i="320"/>
  <c r="O18" i="320"/>
  <c r="N18" i="320"/>
  <c r="M18" i="320"/>
  <c r="L18" i="320"/>
  <c r="K18" i="320"/>
  <c r="J18" i="320"/>
  <c r="I18" i="320"/>
  <c r="H18" i="320"/>
  <c r="G18" i="320"/>
  <c r="F18" i="320"/>
  <c r="E18" i="320"/>
  <c r="D18" i="320"/>
  <c r="C18" i="320"/>
  <c r="AI17" i="320"/>
  <c r="AH17" i="320"/>
  <c r="AG17" i="320"/>
  <c r="AF17" i="320"/>
  <c r="AE17" i="320"/>
  <c r="AD17" i="320"/>
  <c r="AC17" i="320"/>
  <c r="AB17" i="320"/>
  <c r="AA17" i="320"/>
  <c r="Z17" i="320"/>
  <c r="Y17" i="320"/>
  <c r="X17" i="320"/>
  <c r="W17" i="320"/>
  <c r="V17" i="320"/>
  <c r="U17" i="320"/>
  <c r="T17" i="320"/>
  <c r="S17" i="320"/>
  <c r="R17" i="320"/>
  <c r="Q17" i="320"/>
  <c r="P17" i="320"/>
  <c r="O17" i="320"/>
  <c r="N17" i="320"/>
  <c r="M17" i="320"/>
  <c r="L17" i="320"/>
  <c r="K17" i="320"/>
  <c r="J17" i="320"/>
  <c r="I17" i="320"/>
  <c r="H17" i="320"/>
  <c r="G17" i="320"/>
  <c r="F17" i="320"/>
  <c r="E17" i="320"/>
  <c r="D17" i="320"/>
  <c r="C17" i="320"/>
  <c r="AI16" i="320"/>
  <c r="AH16" i="320"/>
  <c r="AG16" i="320"/>
  <c r="AF16" i="320"/>
  <c r="AE16" i="320"/>
  <c r="AD16" i="320"/>
  <c r="AC16" i="320"/>
  <c r="AB16" i="320"/>
  <c r="AA16" i="320"/>
  <c r="Z16" i="320"/>
  <c r="Y16" i="320"/>
  <c r="X16" i="320"/>
  <c r="W16" i="320"/>
  <c r="V16" i="320"/>
  <c r="U16" i="320"/>
  <c r="T16" i="320"/>
  <c r="S16" i="320"/>
  <c r="R16" i="320"/>
  <c r="Q16" i="320"/>
  <c r="P16" i="320"/>
  <c r="O16" i="320"/>
  <c r="N16" i="320"/>
  <c r="M16" i="320"/>
  <c r="L16" i="320"/>
  <c r="K16" i="320"/>
  <c r="J16" i="320"/>
  <c r="I16" i="320"/>
  <c r="H16" i="320"/>
  <c r="G16" i="320"/>
  <c r="F16" i="320"/>
  <c r="E16" i="320"/>
  <c r="D16" i="320"/>
  <c r="C16" i="320"/>
  <c r="AI15" i="320"/>
  <c r="AH15" i="320"/>
  <c r="AG15" i="320"/>
  <c r="AF15" i="320"/>
  <c r="AE15" i="320"/>
  <c r="AD15" i="320"/>
  <c r="AC15" i="320"/>
  <c r="AB15" i="320"/>
  <c r="AA15" i="320"/>
  <c r="Z15" i="320"/>
  <c r="Y15" i="320"/>
  <c r="X15" i="320"/>
  <c r="W15" i="320"/>
  <c r="V15" i="320"/>
  <c r="U15" i="320"/>
  <c r="T15" i="320"/>
  <c r="S15" i="320"/>
  <c r="R15" i="320"/>
  <c r="Q15" i="320"/>
  <c r="P15" i="320"/>
  <c r="O15" i="320"/>
  <c r="N15" i="320"/>
  <c r="M15" i="320"/>
  <c r="L15" i="320"/>
  <c r="K15" i="320"/>
  <c r="J15" i="320"/>
  <c r="I15" i="320"/>
  <c r="H15" i="320"/>
  <c r="G15" i="320"/>
  <c r="F15" i="320"/>
  <c r="E15" i="320"/>
  <c r="D15" i="320"/>
  <c r="C15" i="320"/>
  <c r="AI14" i="320"/>
  <c r="AH14" i="320"/>
  <c r="AG14" i="320"/>
  <c r="AF14" i="320"/>
  <c r="AE14" i="320"/>
  <c r="AD14" i="320"/>
  <c r="AC14" i="320"/>
  <c r="AB14" i="320"/>
  <c r="AA14" i="320"/>
  <c r="Z14" i="320"/>
  <c r="Y14" i="320"/>
  <c r="X14" i="320"/>
  <c r="W14" i="320"/>
  <c r="V14" i="320"/>
  <c r="U14" i="320"/>
  <c r="T14" i="320"/>
  <c r="S14" i="320"/>
  <c r="R14" i="320"/>
  <c r="Q14" i="320"/>
  <c r="P14" i="320"/>
  <c r="O14" i="320"/>
  <c r="N14" i="320"/>
  <c r="M14" i="320"/>
  <c r="L14" i="320"/>
  <c r="K14" i="320"/>
  <c r="J14" i="320"/>
  <c r="I14" i="320"/>
  <c r="H14" i="320"/>
  <c r="G14" i="320"/>
  <c r="F14" i="320"/>
  <c r="E14" i="320"/>
  <c r="D14" i="320"/>
  <c r="C14" i="320"/>
  <c r="AI13" i="320"/>
  <c r="AH13" i="320"/>
  <c r="AG13" i="320"/>
  <c r="AF13" i="320"/>
  <c r="AE13" i="320"/>
  <c r="AD13" i="320"/>
  <c r="AC13" i="320"/>
  <c r="AB13" i="320"/>
  <c r="AA13" i="320"/>
  <c r="Z13" i="320"/>
  <c r="Y13" i="320"/>
  <c r="X13" i="320"/>
  <c r="W13" i="320"/>
  <c r="V13" i="320"/>
  <c r="U13" i="320"/>
  <c r="T13" i="320"/>
  <c r="S13" i="320"/>
  <c r="R13" i="320"/>
  <c r="Q13" i="320"/>
  <c r="P13" i="320"/>
  <c r="O13" i="320"/>
  <c r="N13" i="320"/>
  <c r="M13" i="320"/>
  <c r="L13" i="320"/>
  <c r="K13" i="320"/>
  <c r="J13" i="320"/>
  <c r="I13" i="320"/>
  <c r="H13" i="320"/>
  <c r="G13" i="320"/>
  <c r="F13" i="320"/>
  <c r="E13" i="320"/>
  <c r="D13" i="320"/>
  <c r="C13" i="320"/>
  <c r="AI12" i="320"/>
  <c r="AH12" i="320"/>
  <c r="AG12" i="320"/>
  <c r="AF12" i="320"/>
  <c r="AE12" i="320"/>
  <c r="AD12" i="320"/>
  <c r="AC12" i="320"/>
  <c r="AB12" i="320"/>
  <c r="AA12" i="320"/>
  <c r="Z12" i="320"/>
  <c r="Y12" i="320"/>
  <c r="X12" i="320"/>
  <c r="W12" i="320"/>
  <c r="V12" i="320"/>
  <c r="U12" i="320"/>
  <c r="T12" i="320"/>
  <c r="S12" i="320"/>
  <c r="R12" i="320"/>
  <c r="Q12" i="320"/>
  <c r="P12" i="320"/>
  <c r="O12" i="320"/>
  <c r="N12" i="320"/>
  <c r="M12" i="320"/>
  <c r="L12" i="320"/>
  <c r="K12" i="320"/>
  <c r="J12" i="320"/>
  <c r="I12" i="320"/>
  <c r="H12" i="320"/>
  <c r="G12" i="320"/>
  <c r="F12" i="320"/>
  <c r="E12" i="320"/>
  <c r="D12" i="320"/>
  <c r="C12" i="320"/>
  <c r="AI11" i="320"/>
  <c r="AH11" i="320"/>
  <c r="AG11" i="320"/>
  <c r="AF11" i="320"/>
  <c r="AE11" i="320"/>
  <c r="AD11" i="320"/>
  <c r="AC11" i="320"/>
  <c r="AB11" i="320"/>
  <c r="AA11" i="320"/>
  <c r="Z11" i="320"/>
  <c r="Y11" i="320"/>
  <c r="X11" i="320"/>
  <c r="W11" i="320"/>
  <c r="V11" i="320"/>
  <c r="U11" i="320"/>
  <c r="T11" i="320"/>
  <c r="S11" i="320"/>
  <c r="R11" i="320"/>
  <c r="Q11" i="320"/>
  <c r="P11" i="320"/>
  <c r="O11" i="320"/>
  <c r="N11" i="320"/>
  <c r="M11" i="320"/>
  <c r="L11" i="320"/>
  <c r="K11" i="320"/>
  <c r="J11" i="320"/>
  <c r="I11" i="320"/>
  <c r="H11" i="320"/>
  <c r="G11" i="320"/>
  <c r="F11" i="320"/>
  <c r="E11" i="320"/>
  <c r="D11" i="320"/>
  <c r="C11" i="320"/>
  <c r="AI10" i="320"/>
  <c r="AH10" i="320"/>
  <c r="AG10" i="320"/>
  <c r="AF10" i="320"/>
  <c r="AE10" i="320"/>
  <c r="AD10" i="320"/>
  <c r="AC10" i="320"/>
  <c r="AB10" i="320"/>
  <c r="AA10" i="320"/>
  <c r="Z10" i="320"/>
  <c r="Y10" i="320"/>
  <c r="X10" i="320"/>
  <c r="W10" i="320"/>
  <c r="V10" i="320"/>
  <c r="U10" i="320"/>
  <c r="T10" i="320"/>
  <c r="S10" i="320"/>
  <c r="R10" i="320"/>
  <c r="Q10" i="320"/>
  <c r="P10" i="320"/>
  <c r="O10" i="320"/>
  <c r="N10" i="320"/>
  <c r="M10" i="320"/>
  <c r="L10" i="320"/>
  <c r="K10" i="320"/>
  <c r="J10" i="320"/>
  <c r="I10" i="320"/>
  <c r="H10" i="320"/>
  <c r="G10" i="320"/>
  <c r="F10" i="320"/>
  <c r="E10" i="320"/>
  <c r="D10" i="320"/>
  <c r="C10" i="320"/>
  <c r="AI9" i="320"/>
  <c r="AH9" i="320"/>
  <c r="AG9" i="320"/>
  <c r="AF9" i="320"/>
  <c r="AE9" i="320"/>
  <c r="AD9" i="320"/>
  <c r="AC9" i="320"/>
  <c r="AB9" i="320"/>
  <c r="AA9" i="320"/>
  <c r="Z9" i="320"/>
  <c r="Y9" i="320"/>
  <c r="X9" i="320"/>
  <c r="W9" i="320"/>
  <c r="V9" i="320"/>
  <c r="U9" i="320"/>
  <c r="T9" i="320"/>
  <c r="S9" i="320"/>
  <c r="R9" i="320"/>
  <c r="Q9" i="320"/>
  <c r="P9" i="320"/>
  <c r="O9" i="320"/>
  <c r="N9" i="320"/>
  <c r="M9" i="320"/>
  <c r="L9" i="320"/>
  <c r="K9" i="320"/>
  <c r="J9" i="320"/>
  <c r="I9" i="320"/>
  <c r="H9" i="320"/>
  <c r="G9" i="320"/>
  <c r="F9" i="320"/>
  <c r="E9" i="320"/>
  <c r="D9" i="320"/>
  <c r="C9" i="320"/>
  <c r="AI8" i="320"/>
  <c r="AH8" i="320"/>
  <c r="AG8" i="320"/>
  <c r="AF8" i="320"/>
  <c r="AE8" i="320"/>
  <c r="AD8" i="320"/>
  <c r="AC8" i="320"/>
  <c r="AB8" i="320"/>
  <c r="AA8" i="320"/>
  <c r="Z8" i="320"/>
  <c r="Y8" i="320"/>
  <c r="X8" i="320"/>
  <c r="W8" i="320"/>
  <c r="V8" i="320"/>
  <c r="U8" i="320"/>
  <c r="T8" i="320"/>
  <c r="S8" i="320"/>
  <c r="R8" i="320"/>
  <c r="Q8" i="320"/>
  <c r="P8" i="320"/>
  <c r="O8" i="320"/>
  <c r="N8" i="320"/>
  <c r="M8" i="320"/>
  <c r="L8" i="320"/>
  <c r="K8" i="320"/>
  <c r="J8" i="320"/>
  <c r="I8" i="320"/>
  <c r="H8" i="320"/>
  <c r="G8" i="320"/>
  <c r="F8" i="320"/>
  <c r="E8" i="320"/>
  <c r="D8" i="320"/>
  <c r="C8" i="320"/>
  <c r="M80" i="316"/>
  <c r="L80" i="316"/>
  <c r="K80" i="316"/>
  <c r="J80" i="316"/>
  <c r="I80" i="316"/>
  <c r="H80" i="316"/>
  <c r="G80" i="316"/>
  <c r="F80" i="316"/>
  <c r="E80" i="316"/>
  <c r="D80" i="316"/>
  <c r="C80" i="316"/>
  <c r="M79" i="316"/>
  <c r="L79" i="316"/>
  <c r="K79" i="316"/>
  <c r="J79" i="316"/>
  <c r="I79" i="316"/>
  <c r="H79" i="316"/>
  <c r="G79" i="316"/>
  <c r="F79" i="316"/>
  <c r="E79" i="316"/>
  <c r="D79" i="316"/>
  <c r="C79" i="316"/>
  <c r="M78" i="316"/>
  <c r="L78" i="316"/>
  <c r="K78" i="316"/>
  <c r="J78" i="316"/>
  <c r="I78" i="316"/>
  <c r="H78" i="316"/>
  <c r="G78" i="316"/>
  <c r="F78" i="316"/>
  <c r="E78" i="316"/>
  <c r="D78" i="316"/>
  <c r="C78" i="316"/>
  <c r="M77" i="316"/>
  <c r="L77" i="316"/>
  <c r="K77" i="316"/>
  <c r="J77" i="316"/>
  <c r="I77" i="316"/>
  <c r="H77" i="316"/>
  <c r="G77" i="316"/>
  <c r="F77" i="316"/>
  <c r="E77" i="316"/>
  <c r="D77" i="316"/>
  <c r="C77" i="316"/>
  <c r="M76" i="316"/>
  <c r="L76" i="316"/>
  <c r="K76" i="316"/>
  <c r="J76" i="316"/>
  <c r="I76" i="316"/>
  <c r="H76" i="316"/>
  <c r="G76" i="316"/>
  <c r="F76" i="316"/>
  <c r="E76" i="316"/>
  <c r="D76" i="316"/>
  <c r="C76" i="316"/>
  <c r="M75" i="316"/>
  <c r="L75" i="316"/>
  <c r="K75" i="316"/>
  <c r="J75" i="316"/>
  <c r="I75" i="316"/>
  <c r="H75" i="316"/>
  <c r="G75" i="316"/>
  <c r="F75" i="316"/>
  <c r="E75" i="316"/>
  <c r="D75" i="316"/>
  <c r="C75" i="316"/>
  <c r="M74" i="316"/>
  <c r="L74" i="316"/>
  <c r="K74" i="316"/>
  <c r="J74" i="316"/>
  <c r="I74" i="316"/>
  <c r="H74" i="316"/>
  <c r="G74" i="316"/>
  <c r="F74" i="316"/>
  <c r="E74" i="316"/>
  <c r="D74" i="316"/>
  <c r="C74" i="316"/>
  <c r="M73" i="316"/>
  <c r="L73" i="316"/>
  <c r="K73" i="316"/>
  <c r="J73" i="316"/>
  <c r="I73" i="316"/>
  <c r="H73" i="316"/>
  <c r="G73" i="316"/>
  <c r="F73" i="316"/>
  <c r="E73" i="316"/>
  <c r="D73" i="316"/>
  <c r="C73" i="316"/>
  <c r="M72" i="316"/>
  <c r="L72" i="316"/>
  <c r="K72" i="316"/>
  <c r="J72" i="316"/>
  <c r="I72" i="316"/>
  <c r="H72" i="316"/>
  <c r="G72" i="316"/>
  <c r="F72" i="316"/>
  <c r="E72" i="316"/>
  <c r="D72" i="316"/>
  <c r="C72" i="316"/>
  <c r="M71" i="316"/>
  <c r="L71" i="316"/>
  <c r="K71" i="316"/>
  <c r="J71" i="316"/>
  <c r="I71" i="316"/>
  <c r="H71" i="316"/>
  <c r="G71" i="316"/>
  <c r="F71" i="316"/>
  <c r="E71" i="316"/>
  <c r="D71" i="316"/>
  <c r="C71" i="316"/>
  <c r="M70" i="316"/>
  <c r="L70" i="316"/>
  <c r="K70" i="316"/>
  <c r="J70" i="316"/>
  <c r="I70" i="316"/>
  <c r="H70" i="316"/>
  <c r="G70" i="316"/>
  <c r="F70" i="316"/>
  <c r="E70" i="316"/>
  <c r="D70" i="316"/>
  <c r="C70" i="316"/>
  <c r="M69" i="316"/>
  <c r="L69" i="316"/>
  <c r="K69" i="316"/>
  <c r="J69" i="316"/>
  <c r="I69" i="316"/>
  <c r="H69" i="316"/>
  <c r="G69" i="316"/>
  <c r="F69" i="316"/>
  <c r="E69" i="316"/>
  <c r="D69" i="316"/>
  <c r="C69" i="316"/>
  <c r="M68" i="316"/>
  <c r="L68" i="316"/>
  <c r="K68" i="316"/>
  <c r="J68" i="316"/>
  <c r="I68" i="316"/>
  <c r="H68" i="316"/>
  <c r="G68" i="316"/>
  <c r="F68" i="316"/>
  <c r="E68" i="316"/>
  <c r="D68" i="316"/>
  <c r="C68" i="316"/>
  <c r="M67" i="316"/>
  <c r="L67" i="316"/>
  <c r="K67" i="316"/>
  <c r="J67" i="316"/>
  <c r="I67" i="316"/>
  <c r="H67" i="316"/>
  <c r="G67" i="316"/>
  <c r="F67" i="316"/>
  <c r="E67" i="316"/>
  <c r="D67" i="316"/>
  <c r="C67" i="316"/>
  <c r="M66" i="316"/>
  <c r="L66" i="316"/>
  <c r="K66" i="316"/>
  <c r="J66" i="316"/>
  <c r="I66" i="316"/>
  <c r="H66" i="316"/>
  <c r="G66" i="316"/>
  <c r="F66" i="316"/>
  <c r="E66" i="316"/>
  <c r="D66" i="316"/>
  <c r="C66" i="316"/>
  <c r="M60" i="316"/>
  <c r="L60" i="316"/>
  <c r="K60" i="316"/>
  <c r="J60" i="316"/>
  <c r="I60" i="316"/>
  <c r="H60" i="316"/>
  <c r="G60" i="316"/>
  <c r="F60" i="316"/>
  <c r="E60" i="316"/>
  <c r="D60" i="316"/>
  <c r="C60" i="316"/>
  <c r="M59" i="316"/>
  <c r="L59" i="316"/>
  <c r="K59" i="316"/>
  <c r="J59" i="316"/>
  <c r="I59" i="316"/>
  <c r="H59" i="316"/>
  <c r="G59" i="316"/>
  <c r="F59" i="316"/>
  <c r="E59" i="316"/>
  <c r="D59" i="316"/>
  <c r="C59" i="316"/>
  <c r="M58" i="316"/>
  <c r="L58" i="316"/>
  <c r="K58" i="316"/>
  <c r="J58" i="316"/>
  <c r="I58" i="316"/>
  <c r="H58" i="316"/>
  <c r="G58" i="316"/>
  <c r="F58" i="316"/>
  <c r="E58" i="316"/>
  <c r="D58" i="316"/>
  <c r="C58" i="316"/>
  <c r="M57" i="316"/>
  <c r="L57" i="316"/>
  <c r="K57" i="316"/>
  <c r="J57" i="316"/>
  <c r="I57" i="316"/>
  <c r="H57" i="316"/>
  <c r="G57" i="316"/>
  <c r="F57" i="316"/>
  <c r="E57" i="316"/>
  <c r="D57" i="316"/>
  <c r="C57" i="316"/>
  <c r="M56" i="316"/>
  <c r="L56" i="316"/>
  <c r="K56" i="316"/>
  <c r="J56" i="316"/>
  <c r="I56" i="316"/>
  <c r="H56" i="316"/>
  <c r="G56" i="316"/>
  <c r="F56" i="316"/>
  <c r="E56" i="316"/>
  <c r="D56" i="316"/>
  <c r="C56" i="316"/>
  <c r="M55" i="316"/>
  <c r="L55" i="316"/>
  <c r="K55" i="316"/>
  <c r="J55" i="316"/>
  <c r="I55" i="316"/>
  <c r="H55" i="316"/>
  <c r="G55" i="316"/>
  <c r="F55" i="316"/>
  <c r="E55" i="316"/>
  <c r="D55" i="316"/>
  <c r="C55" i="316"/>
  <c r="M54" i="316"/>
  <c r="L54" i="316"/>
  <c r="K54" i="316"/>
  <c r="J54" i="316"/>
  <c r="I54" i="316"/>
  <c r="H54" i="316"/>
  <c r="G54" i="316"/>
  <c r="F54" i="316"/>
  <c r="E54" i="316"/>
  <c r="D54" i="316"/>
  <c r="C54" i="316"/>
  <c r="M53" i="316"/>
  <c r="L53" i="316"/>
  <c r="K53" i="316"/>
  <c r="J53" i="316"/>
  <c r="I53" i="316"/>
  <c r="H53" i="316"/>
  <c r="G53" i="316"/>
  <c r="F53" i="316"/>
  <c r="E53" i="316"/>
  <c r="D53" i="316"/>
  <c r="C53" i="316"/>
  <c r="M52" i="316"/>
  <c r="L52" i="316"/>
  <c r="K52" i="316"/>
  <c r="J52" i="316"/>
  <c r="I52" i="316"/>
  <c r="H52" i="316"/>
  <c r="G52" i="316"/>
  <c r="F52" i="316"/>
  <c r="E52" i="316"/>
  <c r="D52" i="316"/>
  <c r="C52" i="316"/>
  <c r="M51" i="316"/>
  <c r="L51" i="316"/>
  <c r="K51" i="316"/>
  <c r="J51" i="316"/>
  <c r="I51" i="316"/>
  <c r="H51" i="316"/>
  <c r="G51" i="316"/>
  <c r="F51" i="316"/>
  <c r="E51" i="316"/>
  <c r="D51" i="316"/>
  <c r="C51" i="316"/>
  <c r="M50" i="316"/>
  <c r="L50" i="316"/>
  <c r="K50" i="316"/>
  <c r="J50" i="316"/>
  <c r="I50" i="316"/>
  <c r="H50" i="316"/>
  <c r="G50" i="316"/>
  <c r="F50" i="316"/>
  <c r="E50" i="316"/>
  <c r="D50" i="316"/>
  <c r="C50" i="316"/>
  <c r="M49" i="316"/>
  <c r="L49" i="316"/>
  <c r="K49" i="316"/>
  <c r="J49" i="316"/>
  <c r="I49" i="316"/>
  <c r="H49" i="316"/>
  <c r="G49" i="316"/>
  <c r="F49" i="316"/>
  <c r="E49" i="316"/>
  <c r="D49" i="316"/>
  <c r="C49" i="316"/>
  <c r="M48" i="316"/>
  <c r="L48" i="316"/>
  <c r="K48" i="316"/>
  <c r="J48" i="316"/>
  <c r="I48" i="316"/>
  <c r="H48" i="316"/>
  <c r="G48" i="316"/>
  <c r="F48" i="316"/>
  <c r="E48" i="316"/>
  <c r="D48" i="316"/>
  <c r="C48" i="316"/>
  <c r="M47" i="316"/>
  <c r="L47" i="316"/>
  <c r="K47" i="316"/>
  <c r="J47" i="316"/>
  <c r="I47" i="316"/>
  <c r="H47" i="316"/>
  <c r="G47" i="316"/>
  <c r="F47" i="316"/>
  <c r="E47" i="316"/>
  <c r="D47" i="316"/>
  <c r="C47" i="316"/>
  <c r="M46" i="316"/>
  <c r="L46" i="316"/>
  <c r="K46" i="316"/>
  <c r="J46" i="316"/>
  <c r="I46" i="316"/>
  <c r="H46" i="316"/>
  <c r="G46" i="316"/>
  <c r="F46" i="316"/>
  <c r="E46" i="316"/>
  <c r="D46" i="316"/>
  <c r="C46" i="316"/>
  <c r="AJ40" i="316"/>
  <c r="AI40" i="316"/>
  <c r="AH40" i="316"/>
  <c r="AG40" i="316"/>
  <c r="AF40" i="316"/>
  <c r="AE40" i="316"/>
  <c r="AD40" i="316"/>
  <c r="AC40" i="316"/>
  <c r="AB40" i="316"/>
  <c r="AA40" i="316"/>
  <c r="Z40" i="316"/>
  <c r="AJ39" i="316"/>
  <c r="AI39" i="316"/>
  <c r="AH39" i="316"/>
  <c r="AG39" i="316"/>
  <c r="AF39" i="316"/>
  <c r="AE39" i="316"/>
  <c r="AD39" i="316"/>
  <c r="AC39" i="316"/>
  <c r="AB39" i="316"/>
  <c r="AA39" i="316"/>
  <c r="Z39" i="316"/>
  <c r="AJ38" i="316"/>
  <c r="AI38" i="316"/>
  <c r="AH38" i="316"/>
  <c r="AG38" i="316"/>
  <c r="AF38" i="316"/>
  <c r="AE38" i="316"/>
  <c r="AD38" i="316"/>
  <c r="AC38" i="316"/>
  <c r="AB38" i="316"/>
  <c r="AA38" i="316"/>
  <c r="Z38" i="316"/>
  <c r="AJ37" i="316"/>
  <c r="AI37" i="316"/>
  <c r="AH37" i="316"/>
  <c r="AG37" i="316"/>
  <c r="AF37" i="316"/>
  <c r="AE37" i="316"/>
  <c r="AD37" i="316"/>
  <c r="AC37" i="316"/>
  <c r="AB37" i="316"/>
  <c r="AA37" i="316"/>
  <c r="Z37" i="316"/>
  <c r="AJ36" i="316"/>
  <c r="AI36" i="316"/>
  <c r="AH36" i="316"/>
  <c r="AG36" i="316"/>
  <c r="AF36" i="316"/>
  <c r="AE36" i="316"/>
  <c r="AD36" i="316"/>
  <c r="AC36" i="316"/>
  <c r="AB36" i="316"/>
  <c r="AA36" i="316"/>
  <c r="Z36" i="316"/>
  <c r="AJ35" i="316"/>
  <c r="AI35" i="316"/>
  <c r="AH35" i="316"/>
  <c r="AG35" i="316"/>
  <c r="AF35" i="316"/>
  <c r="AE35" i="316"/>
  <c r="AD35" i="316"/>
  <c r="AC35" i="316"/>
  <c r="AB35" i="316"/>
  <c r="AA35" i="316"/>
  <c r="Z35" i="316"/>
  <c r="AJ34" i="316"/>
  <c r="AI34" i="316"/>
  <c r="AH34" i="316"/>
  <c r="AG34" i="316"/>
  <c r="AF34" i="316"/>
  <c r="AE34" i="316"/>
  <c r="AD34" i="316"/>
  <c r="AC34" i="316"/>
  <c r="AB34" i="316"/>
  <c r="AA34" i="316"/>
  <c r="Z34" i="316"/>
  <c r="AJ33" i="316"/>
  <c r="AI33" i="316"/>
  <c r="AH33" i="316"/>
  <c r="AG33" i="316"/>
  <c r="AF33" i="316"/>
  <c r="AE33" i="316"/>
  <c r="AD33" i="316"/>
  <c r="AC33" i="316"/>
  <c r="AB33" i="316"/>
  <c r="AA33" i="316"/>
  <c r="Z33" i="316"/>
  <c r="AJ32" i="316"/>
  <c r="AI32" i="316"/>
  <c r="AH32" i="316"/>
  <c r="AG32" i="316"/>
  <c r="AF32" i="316"/>
  <c r="AE32" i="316"/>
  <c r="AD32" i="316"/>
  <c r="AC32" i="316"/>
  <c r="AB32" i="316"/>
  <c r="AA32" i="316"/>
  <c r="Z32" i="316"/>
  <c r="AJ31" i="316"/>
  <c r="AI31" i="316"/>
  <c r="AH31" i="316"/>
  <c r="AG31" i="316"/>
  <c r="AF31" i="316"/>
  <c r="AE31" i="316"/>
  <c r="AD31" i="316"/>
  <c r="AC31" i="316"/>
  <c r="AB31" i="316"/>
  <c r="AA31" i="316"/>
  <c r="Z31" i="316"/>
  <c r="AJ30" i="316"/>
  <c r="AI30" i="316"/>
  <c r="AH30" i="316"/>
  <c r="AG30" i="316"/>
  <c r="AF30" i="316"/>
  <c r="AE30" i="316"/>
  <c r="AD30" i="316"/>
  <c r="AC30" i="316"/>
  <c r="AB30" i="316"/>
  <c r="AA30" i="316"/>
  <c r="Z30" i="316"/>
  <c r="AJ29" i="316"/>
  <c r="AI29" i="316"/>
  <c r="AH29" i="316"/>
  <c r="AG29" i="316"/>
  <c r="AF29" i="316"/>
  <c r="AE29" i="316"/>
  <c r="AD29" i="316"/>
  <c r="AC29" i="316"/>
  <c r="AB29" i="316"/>
  <c r="AA29" i="316"/>
  <c r="Z29" i="316"/>
  <c r="AJ28" i="316"/>
  <c r="AI28" i="316"/>
  <c r="AH28" i="316"/>
  <c r="AG28" i="316"/>
  <c r="AF28" i="316"/>
  <c r="AE28" i="316"/>
  <c r="AD28" i="316"/>
  <c r="AC28" i="316"/>
  <c r="AB28" i="316"/>
  <c r="AA28" i="316"/>
  <c r="Z28" i="316"/>
  <c r="AJ27" i="316"/>
  <c r="AI27" i="316"/>
  <c r="AH27" i="316"/>
  <c r="AG27" i="316"/>
  <c r="AF27" i="316"/>
  <c r="AE27" i="316"/>
  <c r="AD27" i="316"/>
  <c r="AC27" i="316"/>
  <c r="AB27" i="316"/>
  <c r="AA27" i="316"/>
  <c r="Z27" i="316"/>
  <c r="AJ26" i="316"/>
  <c r="AI26" i="316"/>
  <c r="AH26" i="316"/>
  <c r="AG26" i="316"/>
  <c r="AF26" i="316"/>
  <c r="AE26" i="316"/>
  <c r="AD26" i="316"/>
  <c r="AC26" i="316"/>
  <c r="AB26" i="316"/>
  <c r="AA26" i="316"/>
  <c r="Z26" i="316"/>
  <c r="F6" i="288" l="1"/>
  <c r="J6" i="288"/>
  <c r="N6" i="288"/>
  <c r="P6" i="288"/>
  <c r="Q6" i="288"/>
  <c r="E22" i="313" l="1"/>
  <c r="D22" i="313"/>
  <c r="C22" i="313"/>
  <c r="E21" i="313"/>
  <c r="D21" i="313"/>
  <c r="C21" i="313"/>
  <c r="E20" i="313"/>
  <c r="D20" i="313"/>
  <c r="C20" i="313"/>
  <c r="F20" i="313" s="1"/>
  <c r="D19" i="313"/>
  <c r="C19" i="313"/>
  <c r="E18" i="313"/>
  <c r="D18" i="313"/>
  <c r="C18" i="313"/>
  <c r="E17" i="313"/>
  <c r="D17" i="313"/>
  <c r="C17" i="313"/>
  <c r="E16" i="313"/>
  <c r="D16" i="313"/>
  <c r="C16" i="313"/>
  <c r="F16" i="313" s="1"/>
  <c r="E15" i="313"/>
  <c r="D15" i="313"/>
  <c r="C15" i="313"/>
  <c r="E14" i="313"/>
  <c r="D14" i="313"/>
  <c r="C14" i="313"/>
  <c r="E13" i="313"/>
  <c r="D13" i="313"/>
  <c r="C13" i="313"/>
  <c r="E12" i="313"/>
  <c r="D12" i="313"/>
  <c r="C12" i="313"/>
  <c r="F12" i="313" s="1"/>
  <c r="E11" i="313"/>
  <c r="D11" i="313"/>
  <c r="C11" i="313"/>
  <c r="E10" i="313"/>
  <c r="D10" i="313"/>
  <c r="C10" i="313"/>
  <c r="E9" i="313"/>
  <c r="D9" i="313"/>
  <c r="C9" i="313"/>
  <c r="E8" i="313"/>
  <c r="D8" i="313"/>
  <c r="C8" i="313"/>
  <c r="F8" i="313" s="1"/>
  <c r="D80" i="309"/>
  <c r="C80" i="309"/>
  <c r="D79" i="309"/>
  <c r="C79" i="309"/>
  <c r="D78" i="309"/>
  <c r="C78" i="309"/>
  <c r="D77" i="309"/>
  <c r="C77" i="309"/>
  <c r="D76" i="309"/>
  <c r="C76" i="309"/>
  <c r="D75" i="309"/>
  <c r="C75" i="309"/>
  <c r="D74" i="309"/>
  <c r="C74" i="309"/>
  <c r="D73" i="309"/>
  <c r="C73" i="309"/>
  <c r="D72" i="309"/>
  <c r="C72" i="309"/>
  <c r="D71" i="309"/>
  <c r="C71" i="309"/>
  <c r="D70" i="309"/>
  <c r="C70" i="309"/>
  <c r="D69" i="309"/>
  <c r="C69" i="309"/>
  <c r="D68" i="309"/>
  <c r="C68" i="309"/>
  <c r="D67" i="309"/>
  <c r="C67" i="309"/>
  <c r="L60" i="309"/>
  <c r="K60" i="309"/>
  <c r="H60" i="309"/>
  <c r="G60" i="309"/>
  <c r="D60" i="309"/>
  <c r="C60" i="309"/>
  <c r="L59" i="309"/>
  <c r="K59" i="309"/>
  <c r="H59" i="309"/>
  <c r="G59" i="309"/>
  <c r="D59" i="309"/>
  <c r="C59" i="309"/>
  <c r="L58" i="309"/>
  <c r="K58" i="309"/>
  <c r="H58" i="309"/>
  <c r="G58" i="309"/>
  <c r="D58" i="309"/>
  <c r="C58" i="309"/>
  <c r="L57" i="309"/>
  <c r="K57" i="309"/>
  <c r="H57" i="309"/>
  <c r="G57" i="309"/>
  <c r="D57" i="309"/>
  <c r="C57" i="309"/>
  <c r="L56" i="309"/>
  <c r="K56" i="309"/>
  <c r="H56" i="309"/>
  <c r="G56" i="309"/>
  <c r="D56" i="309"/>
  <c r="C56" i="309"/>
  <c r="L55" i="309"/>
  <c r="K55" i="309"/>
  <c r="H55" i="309"/>
  <c r="G55" i="309"/>
  <c r="D55" i="309"/>
  <c r="C55" i="309"/>
  <c r="L54" i="309"/>
  <c r="K54" i="309"/>
  <c r="H54" i="309"/>
  <c r="G54" i="309"/>
  <c r="D54" i="309"/>
  <c r="C54" i="309"/>
  <c r="L53" i="309"/>
  <c r="K53" i="309"/>
  <c r="H53" i="309"/>
  <c r="G53" i="309"/>
  <c r="D53" i="309"/>
  <c r="C53" i="309"/>
  <c r="L52" i="309"/>
  <c r="K52" i="309"/>
  <c r="H52" i="309"/>
  <c r="G52" i="309"/>
  <c r="D52" i="309"/>
  <c r="C52" i="309"/>
  <c r="L51" i="309"/>
  <c r="K51" i="309"/>
  <c r="H51" i="309"/>
  <c r="G51" i="309"/>
  <c r="D51" i="309"/>
  <c r="C51" i="309"/>
  <c r="L50" i="309"/>
  <c r="K50" i="309"/>
  <c r="H50" i="309"/>
  <c r="G50" i="309"/>
  <c r="D50" i="309"/>
  <c r="C50" i="309"/>
  <c r="L49" i="309"/>
  <c r="K49" i="309"/>
  <c r="H49" i="309"/>
  <c r="G49" i="309"/>
  <c r="D49" i="309"/>
  <c r="C49" i="309"/>
  <c r="L48" i="309"/>
  <c r="K48" i="309"/>
  <c r="H48" i="309"/>
  <c r="G48" i="309"/>
  <c r="D48" i="309"/>
  <c r="C48" i="309"/>
  <c r="L47" i="309"/>
  <c r="K47" i="309"/>
  <c r="H47" i="309"/>
  <c r="G47" i="309"/>
  <c r="D47" i="309"/>
  <c r="C47" i="309"/>
  <c r="P40" i="309"/>
  <c r="F40" i="309"/>
  <c r="P39" i="309"/>
  <c r="F39" i="309"/>
  <c r="P38" i="309"/>
  <c r="F38" i="309"/>
  <c r="P37" i="309"/>
  <c r="F37" i="309"/>
  <c r="P36" i="309"/>
  <c r="F36" i="309"/>
  <c r="P35" i="309"/>
  <c r="F35" i="309"/>
  <c r="P34" i="309"/>
  <c r="F34" i="309"/>
  <c r="P33" i="309"/>
  <c r="F33" i="309"/>
  <c r="P32" i="309"/>
  <c r="F32" i="309"/>
  <c r="P31" i="309"/>
  <c r="F31" i="309"/>
  <c r="P30" i="309"/>
  <c r="F30" i="309"/>
  <c r="P29" i="309"/>
  <c r="F29" i="309"/>
  <c r="P28" i="309"/>
  <c r="F28" i="309"/>
  <c r="P27" i="309"/>
  <c r="F27" i="309"/>
  <c r="P26" i="309"/>
  <c r="F26" i="309"/>
  <c r="R20" i="309"/>
  <c r="Q20" i="309"/>
  <c r="P20" i="309"/>
  <c r="N20" i="309"/>
  <c r="J20" i="309"/>
  <c r="F20" i="309"/>
  <c r="R19" i="309"/>
  <c r="Q19" i="309"/>
  <c r="P19" i="309"/>
  <c r="N19" i="309"/>
  <c r="J19" i="309"/>
  <c r="F19" i="309"/>
  <c r="R18" i="309"/>
  <c r="Q18" i="309"/>
  <c r="P18" i="309"/>
  <c r="N18" i="309"/>
  <c r="J18" i="309"/>
  <c r="F18" i="309"/>
  <c r="R17" i="309"/>
  <c r="Q17" i="309"/>
  <c r="P17" i="309"/>
  <c r="N17" i="309"/>
  <c r="J17" i="309"/>
  <c r="F17" i="309"/>
  <c r="R16" i="309"/>
  <c r="Q16" i="309"/>
  <c r="P16" i="309"/>
  <c r="N16" i="309"/>
  <c r="J16" i="309"/>
  <c r="F16" i="309"/>
  <c r="R15" i="309"/>
  <c r="Q15" i="309"/>
  <c r="P15" i="309"/>
  <c r="N15" i="309"/>
  <c r="J15" i="309"/>
  <c r="F15" i="309"/>
  <c r="R14" i="309"/>
  <c r="Q14" i="309"/>
  <c r="P14" i="309"/>
  <c r="N14" i="309"/>
  <c r="J14" i="309"/>
  <c r="F14" i="309"/>
  <c r="R13" i="309"/>
  <c r="Q13" i="309"/>
  <c r="P13" i="309"/>
  <c r="N13" i="309"/>
  <c r="J13" i="309"/>
  <c r="F13" i="309"/>
  <c r="R12" i="309"/>
  <c r="Q12" i="309"/>
  <c r="P12" i="309"/>
  <c r="N12" i="309"/>
  <c r="J12" i="309"/>
  <c r="F12" i="309"/>
  <c r="R11" i="309"/>
  <c r="Q11" i="309"/>
  <c r="P11" i="309"/>
  <c r="N11" i="309"/>
  <c r="J11" i="309"/>
  <c r="F11" i="309"/>
  <c r="R10" i="309"/>
  <c r="Q10" i="309"/>
  <c r="P10" i="309"/>
  <c r="N10" i="309"/>
  <c r="J10" i="309"/>
  <c r="F10" i="309"/>
  <c r="R9" i="309"/>
  <c r="Q9" i="309"/>
  <c r="P9" i="309"/>
  <c r="N9" i="309"/>
  <c r="J9" i="309"/>
  <c r="F9" i="309"/>
  <c r="R8" i="309"/>
  <c r="Q8" i="309"/>
  <c r="P8" i="309"/>
  <c r="N8" i="309"/>
  <c r="J8" i="309"/>
  <c r="F8" i="309"/>
  <c r="R7" i="309"/>
  <c r="Q7" i="309"/>
  <c r="P7" i="309"/>
  <c r="N7" i="309"/>
  <c r="J7" i="309"/>
  <c r="F7" i="309"/>
  <c r="AK6" i="309"/>
  <c r="AJ6" i="309"/>
  <c r="AI6" i="309"/>
  <c r="R6" i="309"/>
  <c r="Q6" i="309"/>
  <c r="P6" i="309"/>
  <c r="N6" i="309"/>
  <c r="J6" i="309"/>
  <c r="F6" i="309"/>
  <c r="E21" i="308"/>
  <c r="D21" i="308"/>
  <c r="C21" i="308"/>
  <c r="E20" i="308"/>
  <c r="D20" i="308"/>
  <c r="F20" i="308" s="1"/>
  <c r="C20" i="308"/>
  <c r="E19" i="308"/>
  <c r="D19" i="308"/>
  <c r="C19" i="308"/>
  <c r="F19" i="308" s="1"/>
  <c r="E18" i="308"/>
  <c r="D18" i="308"/>
  <c r="F18" i="308" s="1"/>
  <c r="C18" i="308"/>
  <c r="E17" i="308"/>
  <c r="D17" i="308"/>
  <c r="C17" i="308"/>
  <c r="E16" i="308"/>
  <c r="D16" i="308"/>
  <c r="F16" i="308" s="1"/>
  <c r="C16" i="308"/>
  <c r="E15" i="308"/>
  <c r="D15" i="308"/>
  <c r="C15" i="308"/>
  <c r="F15" i="308" s="1"/>
  <c r="E14" i="308"/>
  <c r="D14" i="308"/>
  <c r="C14" i="308"/>
  <c r="E13" i="308"/>
  <c r="D13" i="308"/>
  <c r="C13" i="308"/>
  <c r="F13" i="308" s="1"/>
  <c r="E12" i="308"/>
  <c r="D12" i="308"/>
  <c r="C12" i="308"/>
  <c r="E11" i="308"/>
  <c r="D11" i="308"/>
  <c r="C11" i="308"/>
  <c r="E10" i="308"/>
  <c r="D10" i="308"/>
  <c r="F10" i="308" s="1"/>
  <c r="C10" i="308"/>
  <c r="E9" i="308"/>
  <c r="D9" i="308"/>
  <c r="C9" i="308"/>
  <c r="E8" i="308"/>
  <c r="D8" i="308"/>
  <c r="F8" i="308" s="1"/>
  <c r="C8" i="308"/>
  <c r="E7" i="308"/>
  <c r="D7" i="308"/>
  <c r="C7" i="308"/>
  <c r="F7" i="308" s="1"/>
  <c r="E62" i="306"/>
  <c r="D62" i="306"/>
  <c r="C62" i="306"/>
  <c r="E61" i="306"/>
  <c r="D61" i="306"/>
  <c r="C61" i="306"/>
  <c r="F61" i="306" s="1"/>
  <c r="E60" i="306"/>
  <c r="D60" i="306"/>
  <c r="C60" i="306"/>
  <c r="E59" i="306"/>
  <c r="D59" i="306"/>
  <c r="C59" i="306"/>
  <c r="E58" i="306"/>
  <c r="D58" i="306"/>
  <c r="F58" i="306" s="1"/>
  <c r="C58" i="306"/>
  <c r="E57" i="306"/>
  <c r="D57" i="306"/>
  <c r="C57" i="306"/>
  <c r="D56" i="306"/>
  <c r="F56" i="306" s="1"/>
  <c r="C56" i="306"/>
  <c r="E55" i="306"/>
  <c r="D55" i="306"/>
  <c r="C55" i="306"/>
  <c r="F55" i="306" s="1"/>
  <c r="E54" i="306"/>
  <c r="D54" i="306"/>
  <c r="C54" i="306"/>
  <c r="E53" i="306"/>
  <c r="D53" i="306"/>
  <c r="C53" i="306"/>
  <c r="F53" i="306" s="1"/>
  <c r="E52" i="306"/>
  <c r="D52" i="306"/>
  <c r="C52" i="306"/>
  <c r="E51" i="306"/>
  <c r="D51" i="306"/>
  <c r="C51" i="306"/>
  <c r="F51" i="306" s="1"/>
  <c r="E50" i="306"/>
  <c r="D50" i="306"/>
  <c r="C50" i="306"/>
  <c r="E49" i="306"/>
  <c r="D49" i="306"/>
  <c r="C49" i="306"/>
  <c r="F49" i="306" s="1"/>
  <c r="E48" i="306"/>
  <c r="D48" i="306"/>
  <c r="F48" i="306" s="1"/>
  <c r="C48" i="306"/>
  <c r="E42" i="306"/>
  <c r="D42" i="306"/>
  <c r="C42" i="306"/>
  <c r="F42" i="306" s="1"/>
  <c r="E41" i="306"/>
  <c r="D41" i="306"/>
  <c r="C41" i="306"/>
  <c r="E40" i="306"/>
  <c r="D40" i="306"/>
  <c r="C40" i="306"/>
  <c r="F40" i="306" s="1"/>
  <c r="E39" i="306"/>
  <c r="D39" i="306"/>
  <c r="C39" i="306"/>
  <c r="E38" i="306"/>
  <c r="D38" i="306"/>
  <c r="C38" i="306"/>
  <c r="F38" i="306" s="1"/>
  <c r="E37" i="306"/>
  <c r="D37" i="306"/>
  <c r="C37" i="306"/>
  <c r="E36" i="306"/>
  <c r="D36" i="306"/>
  <c r="C36" i="306"/>
  <c r="F36" i="306" s="1"/>
  <c r="E35" i="306"/>
  <c r="D35" i="306"/>
  <c r="C35" i="306"/>
  <c r="E34" i="306"/>
  <c r="D34" i="306"/>
  <c r="C34" i="306"/>
  <c r="F34" i="306" s="1"/>
  <c r="E33" i="306"/>
  <c r="D33" i="306"/>
  <c r="C33" i="306"/>
  <c r="E32" i="306"/>
  <c r="D32" i="306"/>
  <c r="C32" i="306"/>
  <c r="F32" i="306" s="1"/>
  <c r="E31" i="306"/>
  <c r="D31" i="306"/>
  <c r="C31" i="306"/>
  <c r="E30" i="306"/>
  <c r="D30" i="306"/>
  <c r="C30" i="306"/>
  <c r="F30" i="306" s="1"/>
  <c r="E29" i="306"/>
  <c r="D29" i="306"/>
  <c r="C29" i="306"/>
  <c r="E28" i="306"/>
  <c r="D28" i="306"/>
  <c r="C28" i="306"/>
  <c r="F28" i="306" s="1"/>
  <c r="E22" i="306"/>
  <c r="D22" i="306"/>
  <c r="C22" i="306"/>
  <c r="E21" i="306"/>
  <c r="D21" i="306"/>
  <c r="C21" i="306"/>
  <c r="F21" i="306" s="1"/>
  <c r="E20" i="306"/>
  <c r="D20" i="306"/>
  <c r="C20" i="306"/>
  <c r="E19" i="306"/>
  <c r="D19" i="306"/>
  <c r="C19" i="306"/>
  <c r="F19" i="306" s="1"/>
  <c r="E18" i="306"/>
  <c r="D18" i="306"/>
  <c r="C18" i="306"/>
  <c r="E17" i="306"/>
  <c r="D17" i="306"/>
  <c r="C17" i="306"/>
  <c r="F17" i="306" s="1"/>
  <c r="E16" i="306"/>
  <c r="D16" i="306"/>
  <c r="C16" i="306"/>
  <c r="D15" i="306"/>
  <c r="C15" i="306"/>
  <c r="E14" i="306"/>
  <c r="D14" i="306"/>
  <c r="F14" i="306" s="1"/>
  <c r="E13" i="306"/>
  <c r="D13" i="306"/>
  <c r="C13" i="306"/>
  <c r="E12" i="306"/>
  <c r="D12" i="306"/>
  <c r="C12" i="306"/>
  <c r="E11" i="306"/>
  <c r="D11" i="306"/>
  <c r="C11" i="306"/>
  <c r="E10" i="306"/>
  <c r="D10" i="306"/>
  <c r="C10" i="306"/>
  <c r="E9" i="306"/>
  <c r="D9" i="306"/>
  <c r="C9" i="306"/>
  <c r="F9" i="306" s="1"/>
  <c r="E8" i="306"/>
  <c r="D8" i="306"/>
  <c r="C8" i="306"/>
  <c r="D80" i="302"/>
  <c r="C80" i="302"/>
  <c r="D79" i="302"/>
  <c r="C79" i="302"/>
  <c r="D78" i="302"/>
  <c r="C78" i="302"/>
  <c r="D77" i="302"/>
  <c r="C77" i="302"/>
  <c r="D76" i="302"/>
  <c r="C76" i="302"/>
  <c r="D75" i="302"/>
  <c r="C75" i="302"/>
  <c r="D74" i="302"/>
  <c r="C74" i="302"/>
  <c r="D73" i="302"/>
  <c r="C73" i="302"/>
  <c r="D72" i="302"/>
  <c r="C72" i="302"/>
  <c r="D71" i="302"/>
  <c r="C71" i="302"/>
  <c r="D70" i="302"/>
  <c r="C70" i="302"/>
  <c r="D69" i="302"/>
  <c r="C69" i="302"/>
  <c r="D68" i="302"/>
  <c r="C68" i="302"/>
  <c r="D67" i="302"/>
  <c r="C67" i="302"/>
  <c r="L60" i="302"/>
  <c r="K60" i="302"/>
  <c r="H60" i="302"/>
  <c r="G60" i="302"/>
  <c r="D60" i="302"/>
  <c r="C60" i="302"/>
  <c r="L59" i="302"/>
  <c r="K59" i="302"/>
  <c r="H59" i="302"/>
  <c r="G59" i="302"/>
  <c r="D59" i="302"/>
  <c r="C59" i="302"/>
  <c r="L58" i="302"/>
  <c r="K58" i="302"/>
  <c r="H58" i="302"/>
  <c r="G58" i="302"/>
  <c r="D58" i="302"/>
  <c r="C58" i="302"/>
  <c r="L57" i="302"/>
  <c r="K57" i="302"/>
  <c r="H57" i="302"/>
  <c r="G57" i="302"/>
  <c r="D57" i="302"/>
  <c r="C57" i="302"/>
  <c r="L56" i="302"/>
  <c r="K56" i="302"/>
  <c r="H56" i="302"/>
  <c r="G56" i="302"/>
  <c r="D56" i="302"/>
  <c r="C56" i="302"/>
  <c r="L55" i="302"/>
  <c r="K55" i="302"/>
  <c r="H55" i="302"/>
  <c r="G55" i="302"/>
  <c r="D55" i="302"/>
  <c r="C55" i="302"/>
  <c r="L54" i="302"/>
  <c r="K54" i="302"/>
  <c r="H54" i="302"/>
  <c r="G54" i="302"/>
  <c r="D54" i="302"/>
  <c r="C54" i="302"/>
  <c r="L53" i="302"/>
  <c r="K53" i="302"/>
  <c r="H53" i="302"/>
  <c r="G53" i="302"/>
  <c r="D53" i="302"/>
  <c r="C53" i="302"/>
  <c r="L52" i="302"/>
  <c r="K52" i="302"/>
  <c r="H52" i="302"/>
  <c r="G52" i="302"/>
  <c r="D52" i="302"/>
  <c r="C52" i="302"/>
  <c r="L51" i="302"/>
  <c r="K51" i="302"/>
  <c r="H51" i="302"/>
  <c r="G51" i="302"/>
  <c r="D51" i="302"/>
  <c r="C51" i="302"/>
  <c r="L50" i="302"/>
  <c r="K50" i="302"/>
  <c r="H50" i="302"/>
  <c r="G50" i="302"/>
  <c r="D50" i="302"/>
  <c r="C50" i="302"/>
  <c r="L49" i="302"/>
  <c r="K49" i="302"/>
  <c r="H49" i="302"/>
  <c r="G49" i="302"/>
  <c r="D49" i="302"/>
  <c r="C49" i="302"/>
  <c r="L48" i="302"/>
  <c r="K48" i="302"/>
  <c r="H48" i="302"/>
  <c r="G48" i="302"/>
  <c r="D48" i="302"/>
  <c r="C48" i="302"/>
  <c r="L47" i="302"/>
  <c r="K47" i="302"/>
  <c r="H47" i="302"/>
  <c r="G47" i="302"/>
  <c r="D47" i="302"/>
  <c r="C47" i="302"/>
  <c r="P40" i="302"/>
  <c r="F40" i="302"/>
  <c r="P39" i="302"/>
  <c r="F39" i="302"/>
  <c r="P38" i="302"/>
  <c r="F38" i="302"/>
  <c r="P37" i="302"/>
  <c r="F37" i="302"/>
  <c r="P36" i="302"/>
  <c r="F36" i="302"/>
  <c r="P35" i="302"/>
  <c r="F35" i="302"/>
  <c r="P34" i="302"/>
  <c r="F34" i="302"/>
  <c r="P33" i="302"/>
  <c r="F33" i="302"/>
  <c r="P32" i="302"/>
  <c r="F32" i="302"/>
  <c r="P31" i="302"/>
  <c r="F31" i="302"/>
  <c r="P30" i="302"/>
  <c r="F30" i="302"/>
  <c r="P29" i="302"/>
  <c r="F29" i="302"/>
  <c r="P28" i="302"/>
  <c r="F28" i="302"/>
  <c r="P27" i="302"/>
  <c r="F27" i="302"/>
  <c r="F78" i="302" s="1"/>
  <c r="P26" i="302"/>
  <c r="F26" i="302"/>
  <c r="R20" i="302"/>
  <c r="Q20" i="302"/>
  <c r="P20" i="302"/>
  <c r="N20" i="302"/>
  <c r="J20" i="302"/>
  <c r="F20" i="302"/>
  <c r="R19" i="302"/>
  <c r="Q19" i="302"/>
  <c r="P19" i="302"/>
  <c r="N19" i="302"/>
  <c r="J19" i="302"/>
  <c r="F19" i="302"/>
  <c r="R18" i="302"/>
  <c r="Q18" i="302"/>
  <c r="P18" i="302"/>
  <c r="N18" i="302"/>
  <c r="J18" i="302"/>
  <c r="F18" i="302"/>
  <c r="R17" i="302"/>
  <c r="Q17" i="302"/>
  <c r="P17" i="302"/>
  <c r="N17" i="302"/>
  <c r="J17" i="302"/>
  <c r="F17" i="302"/>
  <c r="R16" i="302"/>
  <c r="Q16" i="302"/>
  <c r="P16" i="302"/>
  <c r="N16" i="302"/>
  <c r="J16" i="302"/>
  <c r="F16" i="302"/>
  <c r="R15" i="302"/>
  <c r="Q15" i="302"/>
  <c r="P15" i="302"/>
  <c r="N15" i="302"/>
  <c r="J15" i="302"/>
  <c r="F15" i="302"/>
  <c r="R14" i="302"/>
  <c r="Q14" i="302"/>
  <c r="P14" i="302"/>
  <c r="N14" i="302"/>
  <c r="J14" i="302"/>
  <c r="F14" i="302"/>
  <c r="R13" i="302"/>
  <c r="Q13" i="302"/>
  <c r="P13" i="302"/>
  <c r="N13" i="302"/>
  <c r="J13" i="302"/>
  <c r="F13" i="302"/>
  <c r="R12" i="302"/>
  <c r="Q12" i="302"/>
  <c r="P12" i="302"/>
  <c r="N12" i="302"/>
  <c r="J12" i="302"/>
  <c r="F12" i="302"/>
  <c r="R11" i="302"/>
  <c r="Q11" i="302"/>
  <c r="P11" i="302"/>
  <c r="N11" i="302"/>
  <c r="J11" i="302"/>
  <c r="F11" i="302"/>
  <c r="R10" i="302"/>
  <c r="Q10" i="302"/>
  <c r="P10" i="302"/>
  <c r="N10" i="302"/>
  <c r="J10" i="302"/>
  <c r="F10" i="302"/>
  <c r="R9" i="302"/>
  <c r="Q9" i="302"/>
  <c r="P9" i="302"/>
  <c r="N9" i="302"/>
  <c r="J9" i="302"/>
  <c r="F9" i="302"/>
  <c r="R8" i="302"/>
  <c r="Q8" i="302"/>
  <c r="P8" i="302"/>
  <c r="N8" i="302"/>
  <c r="J8" i="302"/>
  <c r="F8" i="302"/>
  <c r="R7" i="302"/>
  <c r="Q7" i="302"/>
  <c r="P7" i="302"/>
  <c r="N7" i="302"/>
  <c r="N59" i="302" s="1"/>
  <c r="J7" i="302"/>
  <c r="J47" i="302" s="1"/>
  <c r="F7" i="302"/>
  <c r="F49" i="302" s="1"/>
  <c r="AK6" i="302"/>
  <c r="AJ6" i="302"/>
  <c r="AI6" i="302"/>
  <c r="R6" i="302"/>
  <c r="Q6" i="302"/>
  <c r="P6" i="302"/>
  <c r="N6" i="302"/>
  <c r="J6" i="302"/>
  <c r="F6" i="302"/>
  <c r="R6" i="295"/>
  <c r="F14" i="313" l="1"/>
  <c r="F68" i="309"/>
  <c r="F11" i="306"/>
  <c r="N58" i="302"/>
  <c r="F76" i="302"/>
  <c r="F8" i="306"/>
  <c r="F12" i="306"/>
  <c r="F15" i="306"/>
  <c r="F16" i="306"/>
  <c r="F18" i="306"/>
  <c r="F20" i="306"/>
  <c r="F22" i="306"/>
  <c r="F29" i="306"/>
  <c r="F31" i="306"/>
  <c r="F33" i="306"/>
  <c r="F35" i="306"/>
  <c r="F37" i="306"/>
  <c r="F39" i="306"/>
  <c r="F41" i="306"/>
  <c r="F50" i="306"/>
  <c r="F52" i="306"/>
  <c r="F54" i="306"/>
  <c r="F57" i="306"/>
  <c r="F60" i="306"/>
  <c r="F62" i="306"/>
  <c r="F9" i="308"/>
  <c r="F12" i="308"/>
  <c r="F14" i="308"/>
  <c r="F17" i="308"/>
  <c r="F21" i="308"/>
  <c r="F48" i="302"/>
  <c r="F10" i="306"/>
  <c r="F76" i="309"/>
  <c r="N48" i="302"/>
  <c r="N51" i="302"/>
  <c r="N50" i="302"/>
  <c r="F47" i="302"/>
  <c r="F50" i="302"/>
  <c r="N52" i="302"/>
  <c r="F53" i="302"/>
  <c r="F55" i="302"/>
  <c r="N55" i="302"/>
  <c r="N56" i="302"/>
  <c r="N57" i="302"/>
  <c r="F58" i="302"/>
  <c r="F59" i="302"/>
  <c r="F60" i="302"/>
  <c r="F73" i="302"/>
  <c r="F71" i="302"/>
  <c r="F72" i="302"/>
  <c r="F74" i="302"/>
  <c r="F75" i="302"/>
  <c r="F79" i="302"/>
  <c r="F80" i="302"/>
  <c r="F13" i="306"/>
  <c r="F69" i="309"/>
  <c r="F71" i="309"/>
  <c r="F74" i="309"/>
  <c r="F77" i="309"/>
  <c r="F78" i="309"/>
  <c r="F79" i="309"/>
  <c r="F80" i="309"/>
  <c r="F10" i="313"/>
  <c r="J55" i="302"/>
  <c r="J50" i="302"/>
  <c r="J51" i="302"/>
  <c r="J52" i="302"/>
  <c r="J54" i="302"/>
  <c r="J57" i="302"/>
  <c r="J58" i="302"/>
  <c r="J59" i="302"/>
  <c r="J60" i="302"/>
  <c r="F59" i="306"/>
  <c r="F11" i="308"/>
  <c r="F9" i="313"/>
  <c r="F11" i="313"/>
  <c r="F13" i="313"/>
  <c r="F15" i="313"/>
  <c r="F17" i="313"/>
  <c r="F19" i="313"/>
  <c r="N50" i="309"/>
  <c r="N58" i="309"/>
  <c r="N51" i="309"/>
  <c r="N59" i="309"/>
  <c r="N48" i="309"/>
  <c r="N54" i="309"/>
  <c r="N49" i="309"/>
  <c r="N57" i="309"/>
  <c r="N53" i="309"/>
  <c r="N52" i="309"/>
  <c r="N60" i="309"/>
  <c r="N55" i="309"/>
  <c r="J54" i="309"/>
  <c r="J59" i="309"/>
  <c r="J49" i="309"/>
  <c r="J57" i="309"/>
  <c r="J47" i="309"/>
  <c r="J55" i="309"/>
  <c r="J52" i="309"/>
  <c r="J60" i="309"/>
  <c r="J48" i="309"/>
  <c r="J56" i="309"/>
  <c r="F21" i="313"/>
  <c r="F22" i="313"/>
  <c r="F48" i="309"/>
  <c r="F18" i="313"/>
  <c r="F49" i="309"/>
  <c r="F52" i="309"/>
  <c r="F60" i="309"/>
  <c r="F55" i="309"/>
  <c r="F47" i="309"/>
  <c r="Z16" i="309" s="1"/>
  <c r="F58" i="309"/>
  <c r="F51" i="309"/>
  <c r="F59" i="309"/>
  <c r="F54" i="309"/>
  <c r="F56" i="309"/>
  <c r="AF16" i="309"/>
  <c r="AC16" i="309"/>
  <c r="V16" i="309"/>
  <c r="Y16" i="309"/>
  <c r="W11" i="309"/>
  <c r="N47" i="309"/>
  <c r="F53" i="309"/>
  <c r="J58" i="309"/>
  <c r="F75" i="309"/>
  <c r="J51" i="309"/>
  <c r="N56" i="309"/>
  <c r="F70" i="309"/>
  <c r="F50" i="309"/>
  <c r="F57" i="309"/>
  <c r="J50" i="309"/>
  <c r="F67" i="309"/>
  <c r="F73" i="309"/>
  <c r="J53" i="309"/>
  <c r="F72" i="309"/>
  <c r="Z17" i="302"/>
  <c r="AF16" i="302"/>
  <c r="AD11" i="302"/>
  <c r="Z9" i="302"/>
  <c r="Y17" i="302"/>
  <c r="AE16" i="302"/>
  <c r="AK16" i="302" s="1"/>
  <c r="AC11" i="302"/>
  <c r="Y9" i="302"/>
  <c r="X17" i="302"/>
  <c r="AD16" i="302"/>
  <c r="AB11" i="302"/>
  <c r="X9" i="302"/>
  <c r="AC16" i="302"/>
  <c r="AA11" i="302"/>
  <c r="W9" i="302"/>
  <c r="W17" i="302"/>
  <c r="U11" i="302"/>
  <c r="X16" i="302"/>
  <c r="V17" i="302"/>
  <c r="AB16" i="302"/>
  <c r="Z11" i="302"/>
  <c r="V9" i="302"/>
  <c r="Y16" i="302"/>
  <c r="U17" i="302"/>
  <c r="AA16" i="302"/>
  <c r="AJ16" i="302" s="1"/>
  <c r="Y11" i="302"/>
  <c r="U9" i="302"/>
  <c r="AG17" i="302"/>
  <c r="V16" i="302"/>
  <c r="Z16" i="302"/>
  <c r="X11" i="302"/>
  <c r="W11" i="302"/>
  <c r="V11" i="302"/>
  <c r="W16" i="302"/>
  <c r="AI16" i="302" s="1"/>
  <c r="AG9" i="302"/>
  <c r="AF17" i="302"/>
  <c r="AE17" i="302"/>
  <c r="U16" i="302"/>
  <c r="AE9" i="302"/>
  <c r="AD17" i="302"/>
  <c r="AD9" i="302"/>
  <c r="AG16" i="302"/>
  <c r="AA9" i="302"/>
  <c r="AF9" i="302"/>
  <c r="AC17" i="302"/>
  <c r="AG11" i="302"/>
  <c r="AC9" i="302"/>
  <c r="AB17" i="302"/>
  <c r="AF11" i="302"/>
  <c r="AB9" i="302"/>
  <c r="AA17" i="302"/>
  <c r="AE11" i="302"/>
  <c r="AK11" i="302" s="1"/>
  <c r="J56" i="302"/>
  <c r="F69" i="302"/>
  <c r="J49" i="302"/>
  <c r="N54" i="302"/>
  <c r="N47" i="302"/>
  <c r="F51" i="302"/>
  <c r="X20" i="302" s="1"/>
  <c r="F70" i="302"/>
  <c r="N49" i="302"/>
  <c r="N60" i="302"/>
  <c r="J48" i="302"/>
  <c r="N53" i="302"/>
  <c r="F77" i="302"/>
  <c r="F52" i="302"/>
  <c r="J53" i="302"/>
  <c r="F57" i="302"/>
  <c r="F67" i="302"/>
  <c r="F54" i="302"/>
  <c r="F68" i="302"/>
  <c r="F56" i="302"/>
  <c r="AJ17" i="302" l="1"/>
  <c r="AK17" i="302"/>
  <c r="W7" i="302"/>
  <c r="AF19" i="302"/>
  <c r="U8" i="302"/>
  <c r="AI11" i="302"/>
  <c r="Y19" i="302"/>
  <c r="AF12" i="302"/>
  <c r="AD15" i="302"/>
  <c r="Z13" i="302"/>
  <c r="Y12" i="302"/>
  <c r="X18" i="302"/>
  <c r="AK9" i="302"/>
  <c r="Z10" i="302"/>
  <c r="Y14" i="302"/>
  <c r="V8" i="309"/>
  <c r="AB9" i="309"/>
  <c r="AF11" i="309"/>
  <c r="Y9" i="309"/>
  <c r="AB10" i="309"/>
  <c r="V11" i="309"/>
  <c r="X16" i="309"/>
  <c r="W9" i="309"/>
  <c r="U9" i="309"/>
  <c r="AF9" i="309"/>
  <c r="Z11" i="309"/>
  <c r="X12" i="309"/>
  <c r="AC11" i="309"/>
  <c r="AE16" i="309"/>
  <c r="AK16" i="309" s="1"/>
  <c r="Z9" i="309"/>
  <c r="AG11" i="309"/>
  <c r="U11" i="309"/>
  <c r="AA11" i="309"/>
  <c r="AB16" i="309"/>
  <c r="AE9" i="309"/>
  <c r="X11" i="309"/>
  <c r="AI11" i="309" s="1"/>
  <c r="AA9" i="309"/>
  <c r="AC9" i="309"/>
  <c r="V9" i="309"/>
  <c r="V10" i="309"/>
  <c r="X9" i="309"/>
  <c r="AE11" i="309"/>
  <c r="AK11" i="309" s="1"/>
  <c r="Y11" i="309"/>
  <c r="AA16" i="309"/>
  <c r="AD11" i="309"/>
  <c r="Z20" i="309"/>
  <c r="AG9" i="309"/>
  <c r="AB11" i="309"/>
  <c r="U18" i="309"/>
  <c r="AC17" i="309"/>
  <c r="AA20" i="309"/>
  <c r="AD9" i="309"/>
  <c r="U16" i="309"/>
  <c r="W16" i="309"/>
  <c r="AI16" i="309" s="1"/>
  <c r="AD16" i="309"/>
  <c r="AG18" i="309"/>
  <c r="AG15" i="309"/>
  <c r="V7" i="309"/>
  <c r="AD10" i="309"/>
  <c r="W18" i="309"/>
  <c r="AB19" i="309"/>
  <c r="AG19" i="309"/>
  <c r="U17" i="309"/>
  <c r="V20" i="309"/>
  <c r="Y14" i="309"/>
  <c r="U14" i="309"/>
  <c r="V17" i="309"/>
  <c r="Z17" i="309"/>
  <c r="Y13" i="309"/>
  <c r="AC18" i="309"/>
  <c r="W8" i="309"/>
  <c r="W7" i="309"/>
  <c r="AB15" i="309"/>
  <c r="AE17" i="309"/>
  <c r="AD20" i="309"/>
  <c r="AG17" i="309"/>
  <c r="AA14" i="309"/>
  <c r="U10" i="309"/>
  <c r="AE15" i="309"/>
  <c r="AC12" i="309"/>
  <c r="U15" i="309"/>
  <c r="Z19" i="309"/>
  <c r="W19" i="309"/>
  <c r="W15" i="309"/>
  <c r="AC10" i="309"/>
  <c r="AB20" i="309"/>
  <c r="X20" i="309"/>
  <c r="AD7" i="309"/>
  <c r="AC13" i="309"/>
  <c r="Y17" i="309"/>
  <c r="AG16" i="309"/>
  <c r="AB14" i="309"/>
  <c r="AA13" i="309"/>
  <c r="Y10" i="309"/>
  <c r="AE13" i="309"/>
  <c r="AG13" i="309"/>
  <c r="AE12" i="309"/>
  <c r="U13" i="309"/>
  <c r="X8" i="309"/>
  <c r="W14" i="309"/>
  <c r="Z14" i="309"/>
  <c r="AC19" i="309"/>
  <c r="AE14" i="309"/>
  <c r="AA7" i="309"/>
  <c r="AE10" i="309"/>
  <c r="AF8" i="309"/>
  <c r="AG8" i="309"/>
  <c r="Y15" i="309"/>
  <c r="U8" i="309"/>
  <c r="U19" i="309"/>
  <c r="AG12" i="309"/>
  <c r="AF18" i="309"/>
  <c r="X17" i="309"/>
  <c r="W12" i="309"/>
  <c r="AJ9" i="309"/>
  <c r="AG10" i="309"/>
  <c r="Y12" i="309"/>
  <c r="X7" i="309"/>
  <c r="W13" i="309"/>
  <c r="V15" i="309"/>
  <c r="AC14" i="309"/>
  <c r="AG14" i="309"/>
  <c r="Z13" i="309"/>
  <c r="X10" i="309"/>
  <c r="AD15" i="309"/>
  <c r="AG20" i="309"/>
  <c r="Y19" i="309"/>
  <c r="X19" i="309"/>
  <c r="AB13" i="309"/>
  <c r="W20" i="309"/>
  <c r="AD19" i="309"/>
  <c r="AA17" i="309"/>
  <c r="Z12" i="309"/>
  <c r="AD14" i="309"/>
  <c r="AE18" i="309"/>
  <c r="AB12" i="309"/>
  <c r="Y7" i="309"/>
  <c r="V13" i="309"/>
  <c r="Y18" i="309"/>
  <c r="AB18" i="309"/>
  <c r="AC7" i="309"/>
  <c r="AD8" i="309"/>
  <c r="AA10" i="309"/>
  <c r="Z10" i="309"/>
  <c r="AE19" i="309"/>
  <c r="X15" i="309"/>
  <c r="AA15" i="309"/>
  <c r="AF7" i="309"/>
  <c r="X13" i="309"/>
  <c r="AF14" i="309"/>
  <c r="AC20" i="309"/>
  <c r="V19" i="309"/>
  <c r="AE20" i="309"/>
  <c r="AF10" i="309"/>
  <c r="U12" i="309"/>
  <c r="AA18" i="309"/>
  <c r="AJ18" i="309" s="1"/>
  <c r="V14" i="309"/>
  <c r="Y20" i="309"/>
  <c r="AB17" i="309"/>
  <c r="AF12" i="309"/>
  <c r="AD18" i="309"/>
  <c r="W10" i="309"/>
  <c r="Z15" i="309"/>
  <c r="AB7" i="309"/>
  <c r="AF20" i="309"/>
  <c r="Z8" i="309"/>
  <c r="AF15" i="309"/>
  <c r="AD12" i="309"/>
  <c r="V18" i="309"/>
  <c r="Z7" i="309"/>
  <c r="AB8" i="309"/>
  <c r="AD17" i="309"/>
  <c r="Z18" i="309"/>
  <c r="AE7" i="309"/>
  <c r="AK7" i="309" s="1"/>
  <c r="AG7" i="309"/>
  <c r="AD13" i="309"/>
  <c r="V12" i="309"/>
  <c r="U7" i="309"/>
  <c r="AC8" i="309"/>
  <c r="W17" i="309"/>
  <c r="AF17" i="309"/>
  <c r="AF19" i="309"/>
  <c r="AA12" i="309"/>
  <c r="X18" i="309"/>
  <c r="Y8" i="309"/>
  <c r="AA8" i="309"/>
  <c r="X14" i="309"/>
  <c r="AF13" i="309"/>
  <c r="AE8" i="309"/>
  <c r="AA19" i="309"/>
  <c r="U20" i="309"/>
  <c r="AC15" i="309"/>
  <c r="AG13" i="302"/>
  <c r="AG8" i="302"/>
  <c r="Z20" i="302"/>
  <c r="AF20" i="302"/>
  <c r="AB20" i="302"/>
  <c r="AD13" i="302"/>
  <c r="AC8" i="302"/>
  <c r="AI9" i="302"/>
  <c r="AA14" i="302"/>
  <c r="U10" i="302"/>
  <c r="Y7" i="302"/>
  <c r="AJ9" i="302"/>
  <c r="AA7" i="302"/>
  <c r="AD20" i="302"/>
  <c r="AE18" i="302"/>
  <c r="X14" i="302"/>
  <c r="U12" i="302"/>
  <c r="AJ11" i="302"/>
  <c r="AC14" i="302"/>
  <c r="AD8" i="302"/>
  <c r="AA12" i="302"/>
  <c r="AG12" i="302"/>
  <c r="AB10" i="302"/>
  <c r="Z19" i="302"/>
  <c r="V12" i="302"/>
  <c r="AF8" i="302"/>
  <c r="X7" i="302"/>
  <c r="AI7" i="302" s="1"/>
  <c r="U13" i="302"/>
  <c r="AE19" i="302"/>
  <c r="AK19" i="302" s="1"/>
  <c r="W13" i="302"/>
  <c r="AF7" i="302"/>
  <c r="Z8" i="302"/>
  <c r="AB18" i="302"/>
  <c r="X13" i="302"/>
  <c r="Z14" i="302"/>
  <c r="AC19" i="302"/>
  <c r="AF18" i="302"/>
  <c r="AE14" i="302"/>
  <c r="AD10" i="302"/>
  <c r="AG7" i="302"/>
  <c r="AE7" i="302"/>
  <c r="AK7" i="302" s="1"/>
  <c r="W8" i="302"/>
  <c r="W12" i="302"/>
  <c r="AF13" i="302"/>
  <c r="V10" i="302"/>
  <c r="Y15" i="302"/>
  <c r="AA15" i="302"/>
  <c r="AA8" i="302"/>
  <c r="U14" i="302"/>
  <c r="U15" i="302"/>
  <c r="X12" i="302"/>
  <c r="AB14" i="302"/>
  <c r="AA13" i="302"/>
  <c r="AC10" i="302"/>
  <c r="U18" i="302"/>
  <c r="W20" i="302"/>
  <c r="AI20" i="302" s="1"/>
  <c r="AB15" i="302"/>
  <c r="Z12" i="302"/>
  <c r="W18" i="302"/>
  <c r="AI18" i="302" s="1"/>
  <c r="AB12" i="302"/>
  <c r="V14" i="302"/>
  <c r="AE10" i="302"/>
  <c r="AC18" i="302"/>
  <c r="AE13" i="302"/>
  <c r="AK13" i="302" s="1"/>
  <c r="AB7" i="302"/>
  <c r="V20" i="302"/>
  <c r="V15" i="302"/>
  <c r="AE12" i="302"/>
  <c r="AK12" i="302" s="1"/>
  <c r="AA19" i="302"/>
  <c r="Y20" i="302"/>
  <c r="AC7" i="302"/>
  <c r="AD14" i="302"/>
  <c r="AG19" i="302"/>
  <c r="V13" i="302"/>
  <c r="Y18" i="302"/>
  <c r="AF15" i="302"/>
  <c r="AG20" i="302"/>
  <c r="AG18" i="302"/>
  <c r="Z18" i="302"/>
  <c r="U7" i="302"/>
  <c r="AI17" i="302"/>
  <c r="Y8" i="302"/>
  <c r="U19" i="302"/>
  <c r="AC12" i="302"/>
  <c r="AG14" i="302"/>
  <c r="V8" i="302"/>
  <c r="X10" i="302"/>
  <c r="AG10" i="302"/>
  <c r="AC15" i="302"/>
  <c r="X15" i="302"/>
  <c r="AA20" i="302"/>
  <c r="AJ20" i="302" s="1"/>
  <c r="AF14" i="302"/>
  <c r="AC20" i="302"/>
  <c r="AC13" i="302"/>
  <c r="AB8" i="302"/>
  <c r="AB19" i="302"/>
  <c r="AA10" i="302"/>
  <c r="AJ10" i="302" s="1"/>
  <c r="AE8" i="302"/>
  <c r="W10" i="302"/>
  <c r="V7" i="302"/>
  <c r="Z7" i="302"/>
  <c r="AB13" i="302"/>
  <c r="AD7" i="302"/>
  <c r="Z15" i="302"/>
  <c r="AD12" i="302"/>
  <c r="AD18" i="302"/>
  <c r="W14" i="302"/>
  <c r="AI14" i="302" s="1"/>
  <c r="Y13" i="302"/>
  <c r="AD19" i="302"/>
  <c r="W15" i="302"/>
  <c r="AI15" i="302" s="1"/>
  <c r="U20" i="302"/>
  <c r="Y10" i="302"/>
  <c r="AE15" i="302"/>
  <c r="W19" i="302"/>
  <c r="V19" i="302"/>
  <c r="V18" i="302"/>
  <c r="AE20" i="302"/>
  <c r="AK20" i="302" s="1"/>
  <c r="X19" i="302"/>
  <c r="AG15" i="302"/>
  <c r="AF10" i="302"/>
  <c r="AA18" i="302"/>
  <c r="AJ18" i="302" s="1"/>
  <c r="X8" i="302"/>
  <c r="AK14" i="302" l="1"/>
  <c r="AI13" i="302"/>
  <c r="AJ19" i="302"/>
  <c r="AI12" i="302"/>
  <c r="AK18" i="302"/>
  <c r="AJ7" i="302"/>
  <c r="AJ14" i="302"/>
  <c r="AJ10" i="309"/>
  <c r="AJ19" i="309"/>
  <c r="AJ12" i="309"/>
  <c r="AI7" i="309"/>
  <c r="AI18" i="309"/>
  <c r="AJ15" i="309"/>
  <c r="AI20" i="309"/>
  <c r="AI15" i="309"/>
  <c r="AI12" i="309"/>
  <c r="AK9" i="309"/>
  <c r="AJ11" i="309"/>
  <c r="AJ16" i="309"/>
  <c r="AK13" i="309"/>
  <c r="AI8" i="309"/>
  <c r="AI19" i="309"/>
  <c r="AK8" i="309"/>
  <c r="AK15" i="309"/>
  <c r="AJ20" i="309"/>
  <c r="AK17" i="309"/>
  <c r="AJ8" i="309"/>
  <c r="AI14" i="309"/>
  <c r="AI9" i="309"/>
  <c r="AJ13" i="309"/>
  <c r="AK12" i="309"/>
  <c r="AI17" i="309"/>
  <c r="AJ14" i="309"/>
  <c r="AJ17" i="309"/>
  <c r="AK20" i="309"/>
  <c r="AK18" i="309"/>
  <c r="AI13" i="309"/>
  <c r="AK10" i="309"/>
  <c r="AI10" i="309"/>
  <c r="AJ7" i="309"/>
  <c r="AK19" i="309"/>
  <c r="AK14" i="309"/>
  <c r="AJ8" i="302"/>
  <c r="AJ15" i="302"/>
  <c r="AK10" i="302"/>
  <c r="AI8" i="302"/>
  <c r="AJ13" i="302"/>
  <c r="AJ12" i="302"/>
  <c r="AI10" i="302"/>
  <c r="AI19" i="302"/>
  <c r="AK8" i="302"/>
  <c r="AK15" i="302"/>
  <c r="E21" i="301" l="1"/>
  <c r="D21" i="301"/>
  <c r="C21" i="301"/>
  <c r="E20" i="301"/>
  <c r="D20" i="301"/>
  <c r="C20" i="301"/>
  <c r="E19" i="301"/>
  <c r="D19" i="301"/>
  <c r="C19" i="301"/>
  <c r="F19" i="301" s="1"/>
  <c r="E18" i="301"/>
  <c r="D18" i="301"/>
  <c r="C18" i="301"/>
  <c r="E17" i="301"/>
  <c r="D17" i="301"/>
  <c r="C17" i="301"/>
  <c r="E16" i="301"/>
  <c r="D16" i="301"/>
  <c r="C16" i="301"/>
  <c r="E15" i="301"/>
  <c r="D15" i="301"/>
  <c r="C15" i="301"/>
  <c r="E14" i="301"/>
  <c r="D14" i="301"/>
  <c r="C14" i="301"/>
  <c r="E13" i="301"/>
  <c r="D13" i="301"/>
  <c r="C13" i="301"/>
  <c r="E12" i="301"/>
  <c r="D12" i="301"/>
  <c r="C12" i="301"/>
  <c r="F12" i="301" s="1"/>
  <c r="E11" i="301"/>
  <c r="D11" i="301"/>
  <c r="C11" i="301"/>
  <c r="E10" i="301"/>
  <c r="D10" i="301"/>
  <c r="C10" i="301"/>
  <c r="E9" i="301"/>
  <c r="D9" i="301"/>
  <c r="C9" i="301"/>
  <c r="E8" i="301"/>
  <c r="D8" i="301"/>
  <c r="C8" i="301"/>
  <c r="E7" i="301"/>
  <c r="D7" i="301"/>
  <c r="C7" i="301"/>
  <c r="E22" i="299"/>
  <c r="D22" i="299"/>
  <c r="C22" i="299"/>
  <c r="F22" i="299" s="1"/>
  <c r="E21" i="299"/>
  <c r="D21" i="299"/>
  <c r="C21" i="299"/>
  <c r="E20" i="299"/>
  <c r="D20" i="299"/>
  <c r="C20" i="299"/>
  <c r="E19" i="299"/>
  <c r="D19" i="299"/>
  <c r="C19" i="299"/>
  <c r="E18" i="299"/>
  <c r="D18" i="299"/>
  <c r="C18" i="299"/>
  <c r="F18" i="299" s="1"/>
  <c r="E17" i="299"/>
  <c r="D17" i="299"/>
  <c r="C17" i="299"/>
  <c r="E16" i="299"/>
  <c r="D16" i="299"/>
  <c r="C16" i="299"/>
  <c r="F16" i="299" s="1"/>
  <c r="E15" i="299"/>
  <c r="D15" i="299"/>
  <c r="F15" i="299" s="1"/>
  <c r="C15" i="299"/>
  <c r="E14" i="299"/>
  <c r="D14" i="299"/>
  <c r="C14" i="299"/>
  <c r="F14" i="299" s="1"/>
  <c r="E13" i="299"/>
  <c r="D13" i="299"/>
  <c r="C13" i="299"/>
  <c r="E12" i="299"/>
  <c r="D12" i="299"/>
  <c r="C12" i="299"/>
  <c r="E11" i="299"/>
  <c r="D11" i="299"/>
  <c r="F11" i="299" s="1"/>
  <c r="C11" i="299"/>
  <c r="E10" i="299"/>
  <c r="D10" i="299"/>
  <c r="C10" i="299"/>
  <c r="E9" i="299"/>
  <c r="D9" i="299"/>
  <c r="C9" i="299"/>
  <c r="E8" i="299"/>
  <c r="D8" i="299"/>
  <c r="C8" i="299"/>
  <c r="D80" i="295"/>
  <c r="C80" i="295"/>
  <c r="D79" i="295"/>
  <c r="C79" i="295"/>
  <c r="D78" i="295"/>
  <c r="C78" i="295"/>
  <c r="D77" i="295"/>
  <c r="C77" i="295"/>
  <c r="D76" i="295"/>
  <c r="C76" i="295"/>
  <c r="D75" i="295"/>
  <c r="C75" i="295"/>
  <c r="D74" i="295"/>
  <c r="C74" i="295"/>
  <c r="D73" i="295"/>
  <c r="C73" i="295"/>
  <c r="D72" i="295"/>
  <c r="C72" i="295"/>
  <c r="D71" i="295"/>
  <c r="C71" i="295"/>
  <c r="D70" i="295"/>
  <c r="C70" i="295"/>
  <c r="D69" i="295"/>
  <c r="C69" i="295"/>
  <c r="D68" i="295"/>
  <c r="C68" i="295"/>
  <c r="D67" i="295"/>
  <c r="C67" i="295"/>
  <c r="L60" i="295"/>
  <c r="K60" i="295"/>
  <c r="H60" i="295"/>
  <c r="G60" i="295"/>
  <c r="D60" i="295"/>
  <c r="C60" i="295"/>
  <c r="L59" i="295"/>
  <c r="K59" i="295"/>
  <c r="H59" i="295"/>
  <c r="G59" i="295"/>
  <c r="D59" i="295"/>
  <c r="C59" i="295"/>
  <c r="L58" i="295"/>
  <c r="K58" i="295"/>
  <c r="H58" i="295"/>
  <c r="G58" i="295"/>
  <c r="D58" i="295"/>
  <c r="C58" i="295"/>
  <c r="L57" i="295"/>
  <c r="K57" i="295"/>
  <c r="H57" i="295"/>
  <c r="G57" i="295"/>
  <c r="D57" i="295"/>
  <c r="C57" i="295"/>
  <c r="L56" i="295"/>
  <c r="K56" i="295"/>
  <c r="H56" i="295"/>
  <c r="G56" i="295"/>
  <c r="D56" i="295"/>
  <c r="C56" i="295"/>
  <c r="L55" i="295"/>
  <c r="K55" i="295"/>
  <c r="H55" i="295"/>
  <c r="G55" i="295"/>
  <c r="D55" i="295"/>
  <c r="C55" i="295"/>
  <c r="L54" i="295"/>
  <c r="K54" i="295"/>
  <c r="H54" i="295"/>
  <c r="G54" i="295"/>
  <c r="D54" i="295"/>
  <c r="C54" i="295"/>
  <c r="L53" i="295"/>
  <c r="K53" i="295"/>
  <c r="H53" i="295"/>
  <c r="G53" i="295"/>
  <c r="D53" i="295"/>
  <c r="C53" i="295"/>
  <c r="L52" i="295"/>
  <c r="K52" i="295"/>
  <c r="H52" i="295"/>
  <c r="G52" i="295"/>
  <c r="D52" i="295"/>
  <c r="C52" i="295"/>
  <c r="L51" i="295"/>
  <c r="K51" i="295"/>
  <c r="H51" i="295"/>
  <c r="G51" i="295"/>
  <c r="D51" i="295"/>
  <c r="C51" i="295"/>
  <c r="L50" i="295"/>
  <c r="K50" i="295"/>
  <c r="H50" i="295"/>
  <c r="G50" i="295"/>
  <c r="D50" i="295"/>
  <c r="C50" i="295"/>
  <c r="L49" i="295"/>
  <c r="K49" i="295"/>
  <c r="H49" i="295"/>
  <c r="G49" i="295"/>
  <c r="D49" i="295"/>
  <c r="C49" i="295"/>
  <c r="L48" i="295"/>
  <c r="K48" i="295"/>
  <c r="H48" i="295"/>
  <c r="G48" i="295"/>
  <c r="D48" i="295"/>
  <c r="C48" i="295"/>
  <c r="L47" i="295"/>
  <c r="K47" i="295"/>
  <c r="H47" i="295"/>
  <c r="G47" i="295"/>
  <c r="D47" i="295"/>
  <c r="C47" i="295"/>
  <c r="P40" i="295"/>
  <c r="F40" i="295"/>
  <c r="P39" i="295"/>
  <c r="F39" i="295"/>
  <c r="P38" i="295"/>
  <c r="F38" i="295"/>
  <c r="P37" i="295"/>
  <c r="F37" i="295"/>
  <c r="P36" i="295"/>
  <c r="F36" i="295"/>
  <c r="P35" i="295"/>
  <c r="F35" i="295"/>
  <c r="P34" i="295"/>
  <c r="F34" i="295"/>
  <c r="P33" i="295"/>
  <c r="F33" i="295"/>
  <c r="P32" i="295"/>
  <c r="F32" i="295"/>
  <c r="P31" i="295"/>
  <c r="F31" i="295"/>
  <c r="P30" i="295"/>
  <c r="F30" i="295"/>
  <c r="P29" i="295"/>
  <c r="F29" i="295"/>
  <c r="P28" i="295"/>
  <c r="F28" i="295"/>
  <c r="P27" i="295"/>
  <c r="F27" i="295"/>
  <c r="P26" i="295"/>
  <c r="F26" i="295"/>
  <c r="R20" i="295"/>
  <c r="Q20" i="295"/>
  <c r="P20" i="295"/>
  <c r="N20" i="295"/>
  <c r="J20" i="295"/>
  <c r="F20" i="295"/>
  <c r="R19" i="295"/>
  <c r="Q19" i="295"/>
  <c r="P19" i="295"/>
  <c r="N19" i="295"/>
  <c r="J19" i="295"/>
  <c r="F19" i="295"/>
  <c r="R18" i="295"/>
  <c r="Q18" i="295"/>
  <c r="P18" i="295"/>
  <c r="N18" i="295"/>
  <c r="J18" i="295"/>
  <c r="F18" i="295"/>
  <c r="R17" i="295"/>
  <c r="Q17" i="295"/>
  <c r="P17" i="295"/>
  <c r="N17" i="295"/>
  <c r="J17" i="295"/>
  <c r="F17" i="295"/>
  <c r="R16" i="295"/>
  <c r="Q16" i="295"/>
  <c r="P16" i="295"/>
  <c r="N16" i="295"/>
  <c r="J16" i="295"/>
  <c r="F16" i="295"/>
  <c r="R15" i="295"/>
  <c r="Q15" i="295"/>
  <c r="P15" i="295"/>
  <c r="N15" i="295"/>
  <c r="J15" i="295"/>
  <c r="F15" i="295"/>
  <c r="R14" i="295"/>
  <c r="Q14" i="295"/>
  <c r="P14" i="295"/>
  <c r="N14" i="295"/>
  <c r="J14" i="295"/>
  <c r="F14" i="295"/>
  <c r="R13" i="295"/>
  <c r="Q13" i="295"/>
  <c r="P13" i="295"/>
  <c r="N13" i="295"/>
  <c r="J13" i="295"/>
  <c r="F13" i="295"/>
  <c r="R12" i="295"/>
  <c r="Q12" i="295"/>
  <c r="P12" i="295"/>
  <c r="N12" i="295"/>
  <c r="J12" i="295"/>
  <c r="F12" i="295"/>
  <c r="R11" i="295"/>
  <c r="Q11" i="295"/>
  <c r="P11" i="295"/>
  <c r="N11" i="295"/>
  <c r="J11" i="295"/>
  <c r="F11" i="295"/>
  <c r="R10" i="295"/>
  <c r="Q10" i="295"/>
  <c r="P10" i="295"/>
  <c r="N10" i="295"/>
  <c r="J10" i="295"/>
  <c r="F10" i="295"/>
  <c r="R9" i="295"/>
  <c r="Q9" i="295"/>
  <c r="P9" i="295"/>
  <c r="N9" i="295"/>
  <c r="J9" i="295"/>
  <c r="F9" i="295"/>
  <c r="R8" i="295"/>
  <c r="Q8" i="295"/>
  <c r="P8" i="295"/>
  <c r="N8" i="295"/>
  <c r="J8" i="295"/>
  <c r="F8" i="295"/>
  <c r="R7" i="295"/>
  <c r="Q7" i="295"/>
  <c r="P7" i="295"/>
  <c r="N7" i="295"/>
  <c r="J7" i="295"/>
  <c r="F7" i="295"/>
  <c r="AK6" i="295"/>
  <c r="AJ6" i="295"/>
  <c r="AI6" i="295"/>
  <c r="F76" i="295" l="1"/>
  <c r="F14" i="301"/>
  <c r="F9" i="301"/>
  <c r="F13" i="301"/>
  <c r="F17" i="301"/>
  <c r="F21" i="301"/>
  <c r="F7" i="301"/>
  <c r="F8" i="301"/>
  <c r="F10" i="301"/>
  <c r="F16" i="301"/>
  <c r="F11" i="301"/>
  <c r="F18" i="301"/>
  <c r="F15" i="301"/>
  <c r="F10" i="299"/>
  <c r="F20" i="301"/>
  <c r="F68" i="295"/>
  <c r="F70" i="295"/>
  <c r="F71" i="295"/>
  <c r="F72" i="295"/>
  <c r="F78" i="295"/>
  <c r="F74" i="295"/>
  <c r="F75" i="295"/>
  <c r="F80" i="295"/>
  <c r="F13" i="299"/>
  <c r="F19" i="299"/>
  <c r="J54" i="295"/>
  <c r="F8" i="299"/>
  <c r="N60" i="295"/>
  <c r="N49" i="295"/>
  <c r="N57" i="295"/>
  <c r="N53" i="295"/>
  <c r="N56" i="295"/>
  <c r="N55" i="295"/>
  <c r="N58" i="295"/>
  <c r="N51" i="295"/>
  <c r="N50" i="295"/>
  <c r="N54" i="295"/>
  <c r="J58" i="295"/>
  <c r="J50" i="295"/>
  <c r="J56" i="295"/>
  <c r="J51" i="295"/>
  <c r="J60" i="295"/>
  <c r="J52" i="295"/>
  <c r="J49" i="295"/>
  <c r="J57" i="295"/>
  <c r="J55" i="295"/>
  <c r="F21" i="299"/>
  <c r="F12" i="299"/>
  <c r="F17" i="299"/>
  <c r="F9" i="299"/>
  <c r="F20" i="299"/>
  <c r="F52" i="295"/>
  <c r="F60" i="295"/>
  <c r="F54" i="295"/>
  <c r="F58" i="295"/>
  <c r="F53" i="295"/>
  <c r="F57" i="295"/>
  <c r="F47" i="295"/>
  <c r="F56" i="295"/>
  <c r="F55" i="295"/>
  <c r="F51" i="295"/>
  <c r="F59" i="295"/>
  <c r="N47" i="295"/>
  <c r="N48" i="295"/>
  <c r="J47" i="295"/>
  <c r="F69" i="295"/>
  <c r="F49" i="295"/>
  <c r="N52" i="295"/>
  <c r="N59" i="295"/>
  <c r="J53" i="295"/>
  <c r="J59" i="295"/>
  <c r="F50" i="295"/>
  <c r="F79" i="295"/>
  <c r="J48" i="295"/>
  <c r="F77" i="295"/>
  <c r="F48" i="295"/>
  <c r="F67" i="295"/>
  <c r="F73" i="295"/>
  <c r="V12" i="295" l="1"/>
  <c r="W12" i="295"/>
  <c r="AG16" i="295"/>
  <c r="W16" i="295"/>
  <c r="AE16" i="295"/>
  <c r="AA16" i="295"/>
  <c r="Z20" i="295"/>
  <c r="AF12" i="295"/>
  <c r="Y16" i="295"/>
  <c r="V16" i="295"/>
  <c r="Z16" i="295"/>
  <c r="U16" i="295"/>
  <c r="X16" i="295"/>
  <c r="AD16" i="295"/>
  <c r="AB16" i="295"/>
  <c r="AF16" i="295"/>
  <c r="V20" i="295"/>
  <c r="Y11" i="295"/>
  <c r="Z18" i="295"/>
  <c r="Y17" i="295"/>
  <c r="X10" i="295"/>
  <c r="AG13" i="295"/>
  <c r="AE17" i="295"/>
  <c r="AD13" i="295"/>
  <c r="V10" i="295"/>
  <c r="AB12" i="295"/>
  <c r="AG10" i="295"/>
  <c r="U10" i="295"/>
  <c r="AD9" i="295"/>
  <c r="AD12" i="295"/>
  <c r="AC16" i="295"/>
  <c r="AE7" i="295"/>
  <c r="W7" i="295"/>
  <c r="AD15" i="295"/>
  <c r="U11" i="295"/>
  <c r="AB11" i="295"/>
  <c r="Y12" i="295"/>
  <c r="AE12" i="295"/>
  <c r="W18" i="295"/>
  <c r="Y7" i="295"/>
  <c r="AA14" i="295"/>
  <c r="AG14" i="295"/>
  <c r="W8" i="295"/>
  <c r="AB7" i="295"/>
  <c r="AC18" i="295"/>
  <c r="AC13" i="295"/>
  <c r="U20" i="295"/>
  <c r="AF8" i="295"/>
  <c r="AG19" i="295"/>
  <c r="W10" i="295"/>
  <c r="AB14" i="295"/>
  <c r="AA15" i="295"/>
  <c r="AG9" i="295"/>
  <c r="Z10" i="295"/>
  <c r="Z11" i="295"/>
  <c r="W19" i="295"/>
  <c r="AG15" i="295"/>
  <c r="AD8" i="295"/>
  <c r="AA20" i="295"/>
  <c r="Z7" i="295"/>
  <c r="AD19" i="295"/>
  <c r="AA10" i="295"/>
  <c r="AB15" i="295"/>
  <c r="Z19" i="295"/>
  <c r="AG20" i="295"/>
  <c r="Y19" i="295"/>
  <c r="X9" i="295"/>
  <c r="X20" i="295"/>
  <c r="V8" i="295"/>
  <c r="AF18" i="295"/>
  <c r="AA17" i="295"/>
  <c r="AF10" i="295"/>
  <c r="AC20" i="295"/>
  <c r="Y13" i="295"/>
  <c r="X8" i="295"/>
  <c r="AF9" i="295"/>
  <c r="AC8" i="295"/>
  <c r="AF13" i="295"/>
  <c r="X7" i="295"/>
  <c r="V17" i="295"/>
  <c r="V13" i="295"/>
  <c r="W15" i="295"/>
  <c r="AE10" i="295"/>
  <c r="AC15" i="295"/>
  <c r="AB10" i="295"/>
  <c r="AF17" i="295"/>
  <c r="AF7" i="295"/>
  <c r="W9" i="295"/>
  <c r="Z14" i="295"/>
  <c r="AB9" i="295"/>
  <c r="Y18" i="295"/>
  <c r="V11" i="295"/>
  <c r="AG17" i="295"/>
  <c r="Y8" i="295"/>
  <c r="AD10" i="295"/>
  <c r="AA11" i="295"/>
  <c r="AJ11" i="295" s="1"/>
  <c r="X17" i="295"/>
  <c r="AF11" i="295"/>
  <c r="X12" i="295"/>
  <c r="AI12" i="295" s="1"/>
  <c r="AD17" i="295"/>
  <c r="AC9" i="295"/>
  <c r="AE8" i="295"/>
  <c r="AA18" i="295"/>
  <c r="Z13" i="295"/>
  <c r="AC10" i="295"/>
  <c r="X11" i="295"/>
  <c r="U12" i="295"/>
  <c r="AB19" i="295"/>
  <c r="Z12" i="295"/>
  <c r="AD14" i="295"/>
  <c r="AA9" i="295"/>
  <c r="Z8" i="295"/>
  <c r="Y20" i="295"/>
  <c r="AA7" i="295"/>
  <c r="AE13" i="295"/>
  <c r="AA12" i="295"/>
  <c r="AG8" i="295"/>
  <c r="AB20" i="295"/>
  <c r="U8" i="295"/>
  <c r="AD11" i="295"/>
  <c r="AE20" i="295"/>
  <c r="AG12" i="295"/>
  <c r="V14" i="295"/>
  <c r="Y14" i="295"/>
  <c r="AG7" i="295"/>
  <c r="X15" i="295"/>
  <c r="AE18" i="295"/>
  <c r="AC19" i="295"/>
  <c r="AB13" i="295"/>
  <c r="U13" i="295"/>
  <c r="AE11" i="295"/>
  <c r="AK11" i="295" s="1"/>
  <c r="U9" i="295"/>
  <c r="AE9" i="295"/>
  <c r="X13" i="295"/>
  <c r="W14" i="295"/>
  <c r="AB18" i="295"/>
  <c r="AA13" i="295"/>
  <c r="AJ13" i="295" s="1"/>
  <c r="AF15" i="295"/>
  <c r="X14" i="295"/>
  <c r="AB17" i="295"/>
  <c r="U18" i="295"/>
  <c r="Z15" i="295"/>
  <c r="AG11" i="295"/>
  <c r="U19" i="295"/>
  <c r="AE14" i="295"/>
  <c r="AC14" i="295"/>
  <c r="U17" i="295"/>
  <c r="Y10" i="295"/>
  <c r="AC11" i="295"/>
  <c r="V19" i="295"/>
  <c r="U14" i="295"/>
  <c r="W17" i="295"/>
  <c r="Y9" i="295"/>
  <c r="V18" i="295"/>
  <c r="AD7" i="295"/>
  <c r="V9" i="295"/>
  <c r="V7" i="295"/>
  <c r="X18" i="295"/>
  <c r="W11" i="295"/>
  <c r="AI11" i="295" s="1"/>
  <c r="Y15" i="295"/>
  <c r="AB8" i="295"/>
  <c r="AC12" i="295"/>
  <c r="AD20" i="295"/>
  <c r="AF20" i="295"/>
  <c r="AE15" i="295"/>
  <c r="AD18" i="295"/>
  <c r="AG18" i="295"/>
  <c r="U15" i="295"/>
  <c r="AF19" i="295"/>
  <c r="Z17" i="295"/>
  <c r="AF14" i="295"/>
  <c r="V15" i="295"/>
  <c r="AC17" i="295"/>
  <c r="AE19" i="295"/>
  <c r="U7" i="295"/>
  <c r="W13" i="295"/>
  <c r="AC7" i="295"/>
  <c r="Z9" i="295"/>
  <c r="AA8" i="295"/>
  <c r="X19" i="295"/>
  <c r="AA19" i="295"/>
  <c r="W20" i="295"/>
  <c r="AJ10" i="295" l="1"/>
  <c r="AK16" i="295"/>
  <c r="AJ20" i="295"/>
  <c r="AK12" i="295"/>
  <c r="AK19" i="295"/>
  <c r="AK17" i="295"/>
  <c r="AI7" i="295"/>
  <c r="AJ16" i="295"/>
  <c r="AI16" i="295"/>
  <c r="AK18" i="295"/>
  <c r="AK7" i="295"/>
  <c r="AJ12" i="295"/>
  <c r="AJ15" i="295"/>
  <c r="AK13" i="295"/>
  <c r="AK10" i="295"/>
  <c r="AI13" i="295"/>
  <c r="AK14" i="295"/>
  <c r="AI10" i="295"/>
  <c r="AJ7" i="295"/>
  <c r="AI15" i="295"/>
  <c r="AI8" i="295"/>
  <c r="AK20" i="295"/>
  <c r="AJ14" i="295"/>
  <c r="AI17" i="295"/>
  <c r="AI20" i="295"/>
  <c r="AJ19" i="295"/>
  <c r="AK15" i="295"/>
  <c r="AI14" i="295"/>
  <c r="AI9" i="295"/>
  <c r="AI19" i="295"/>
  <c r="AJ18" i="295"/>
  <c r="AJ17" i="295"/>
  <c r="AI18" i="295"/>
  <c r="AJ8" i="295"/>
  <c r="AK9" i="295"/>
  <c r="AK8" i="295"/>
  <c r="AJ9" i="295"/>
  <c r="E22" i="292" l="1"/>
  <c r="D22" i="292"/>
  <c r="C22" i="292"/>
  <c r="E21" i="292"/>
  <c r="D21" i="292"/>
  <c r="C21" i="292"/>
  <c r="E20" i="292"/>
  <c r="D20" i="292"/>
  <c r="C20" i="292"/>
  <c r="D19" i="292"/>
  <c r="C19" i="292"/>
  <c r="E18" i="292"/>
  <c r="D18" i="292"/>
  <c r="C18" i="292"/>
  <c r="E17" i="292"/>
  <c r="D17" i="292"/>
  <c r="C17" i="292"/>
  <c r="E16" i="292"/>
  <c r="D16" i="292"/>
  <c r="C16" i="292"/>
  <c r="E15" i="292"/>
  <c r="D15" i="292"/>
  <c r="C15" i="292"/>
  <c r="E14" i="292"/>
  <c r="D14" i="292"/>
  <c r="C14" i="292"/>
  <c r="E13" i="292"/>
  <c r="D13" i="292"/>
  <c r="C13" i="292"/>
  <c r="E12" i="292"/>
  <c r="D12" i="292"/>
  <c r="C12" i="292"/>
  <c r="E11" i="292"/>
  <c r="D11" i="292"/>
  <c r="C11" i="292"/>
  <c r="E10" i="292"/>
  <c r="D10" i="292"/>
  <c r="C10" i="292"/>
  <c r="E9" i="292"/>
  <c r="D9" i="292"/>
  <c r="C9" i="292"/>
  <c r="E8" i="292"/>
  <c r="D8" i="292"/>
  <c r="C8" i="292"/>
  <c r="D80" i="288"/>
  <c r="C80" i="288"/>
  <c r="D79" i="288"/>
  <c r="C79" i="288"/>
  <c r="D78" i="288"/>
  <c r="C78" i="288"/>
  <c r="D77" i="288"/>
  <c r="C77" i="288"/>
  <c r="D76" i="288"/>
  <c r="C76" i="288"/>
  <c r="D75" i="288"/>
  <c r="C75" i="288"/>
  <c r="D74" i="288"/>
  <c r="C74" i="288"/>
  <c r="D73" i="288"/>
  <c r="C73" i="288"/>
  <c r="D72" i="288"/>
  <c r="C72" i="288"/>
  <c r="D71" i="288"/>
  <c r="C71" i="288"/>
  <c r="D70" i="288"/>
  <c r="C70" i="288"/>
  <c r="D69" i="288"/>
  <c r="C69" i="288"/>
  <c r="D68" i="288"/>
  <c r="C68" i="288"/>
  <c r="D67" i="288"/>
  <c r="C67" i="288"/>
  <c r="L60" i="288"/>
  <c r="K60" i="288"/>
  <c r="H60" i="288"/>
  <c r="G60" i="288"/>
  <c r="D60" i="288"/>
  <c r="C60" i="288"/>
  <c r="L59" i="288"/>
  <c r="K59" i="288"/>
  <c r="H59" i="288"/>
  <c r="G59" i="288"/>
  <c r="D59" i="288"/>
  <c r="C59" i="288"/>
  <c r="L58" i="288"/>
  <c r="K58" i="288"/>
  <c r="H58" i="288"/>
  <c r="G58" i="288"/>
  <c r="D58" i="288"/>
  <c r="C58" i="288"/>
  <c r="L57" i="288"/>
  <c r="K57" i="288"/>
  <c r="H57" i="288"/>
  <c r="G57" i="288"/>
  <c r="D57" i="288"/>
  <c r="C57" i="288"/>
  <c r="L56" i="288"/>
  <c r="K56" i="288"/>
  <c r="H56" i="288"/>
  <c r="G56" i="288"/>
  <c r="D56" i="288"/>
  <c r="C56" i="288"/>
  <c r="L55" i="288"/>
  <c r="K55" i="288"/>
  <c r="H55" i="288"/>
  <c r="G55" i="288"/>
  <c r="D55" i="288"/>
  <c r="C55" i="288"/>
  <c r="L54" i="288"/>
  <c r="K54" i="288"/>
  <c r="H54" i="288"/>
  <c r="G54" i="288"/>
  <c r="D54" i="288"/>
  <c r="C54" i="288"/>
  <c r="L53" i="288"/>
  <c r="K53" i="288"/>
  <c r="H53" i="288"/>
  <c r="G53" i="288"/>
  <c r="D53" i="288"/>
  <c r="C53" i="288"/>
  <c r="L52" i="288"/>
  <c r="K52" i="288"/>
  <c r="H52" i="288"/>
  <c r="G52" i="288"/>
  <c r="D52" i="288"/>
  <c r="C52" i="288"/>
  <c r="L51" i="288"/>
  <c r="K51" i="288"/>
  <c r="H51" i="288"/>
  <c r="G51" i="288"/>
  <c r="D51" i="288"/>
  <c r="C51" i="288"/>
  <c r="L50" i="288"/>
  <c r="K50" i="288"/>
  <c r="H50" i="288"/>
  <c r="G50" i="288"/>
  <c r="D50" i="288"/>
  <c r="C50" i="288"/>
  <c r="L49" i="288"/>
  <c r="K49" i="288"/>
  <c r="H49" i="288"/>
  <c r="G49" i="288"/>
  <c r="D49" i="288"/>
  <c r="C49" i="288"/>
  <c r="L48" i="288"/>
  <c r="K48" i="288"/>
  <c r="H48" i="288"/>
  <c r="G48" i="288"/>
  <c r="D48" i="288"/>
  <c r="C48" i="288"/>
  <c r="L47" i="288"/>
  <c r="K47" i="288"/>
  <c r="H47" i="288"/>
  <c r="G47" i="288"/>
  <c r="D47" i="288"/>
  <c r="C47" i="288"/>
  <c r="P40" i="288"/>
  <c r="F40" i="288"/>
  <c r="P39" i="288"/>
  <c r="F39" i="288"/>
  <c r="P38" i="288"/>
  <c r="F38" i="288"/>
  <c r="P37" i="288"/>
  <c r="F37" i="288"/>
  <c r="P36" i="288"/>
  <c r="F36" i="288"/>
  <c r="P35" i="288"/>
  <c r="F35" i="288"/>
  <c r="P34" i="288"/>
  <c r="F34" i="288"/>
  <c r="P33" i="288"/>
  <c r="F33" i="288"/>
  <c r="P32" i="288"/>
  <c r="F32" i="288"/>
  <c r="P31" i="288"/>
  <c r="F31" i="288"/>
  <c r="P30" i="288"/>
  <c r="F30" i="288"/>
  <c r="P29" i="288"/>
  <c r="F29" i="288"/>
  <c r="P28" i="288"/>
  <c r="F28" i="288"/>
  <c r="P27" i="288"/>
  <c r="F27" i="288"/>
  <c r="F78" i="288" s="1"/>
  <c r="P26" i="288"/>
  <c r="F26" i="288"/>
  <c r="R20" i="288"/>
  <c r="Q20" i="288"/>
  <c r="P20" i="288"/>
  <c r="N20" i="288"/>
  <c r="J20" i="288"/>
  <c r="F20" i="288"/>
  <c r="R19" i="288"/>
  <c r="Q19" i="288"/>
  <c r="P19" i="288"/>
  <c r="N19" i="288"/>
  <c r="J19" i="288"/>
  <c r="F19" i="288"/>
  <c r="R18" i="288"/>
  <c r="Q18" i="288"/>
  <c r="P18" i="288"/>
  <c r="N18" i="288"/>
  <c r="J18" i="288"/>
  <c r="F18" i="288"/>
  <c r="R17" i="288"/>
  <c r="Q17" i="288"/>
  <c r="P17" i="288"/>
  <c r="N17" i="288"/>
  <c r="J17" i="288"/>
  <c r="F17" i="288"/>
  <c r="R16" i="288"/>
  <c r="Q16" i="288"/>
  <c r="P16" i="288"/>
  <c r="N16" i="288"/>
  <c r="J16" i="288"/>
  <c r="F16" i="288"/>
  <c r="R15" i="288"/>
  <c r="Q15" i="288"/>
  <c r="P15" i="288"/>
  <c r="N15" i="288"/>
  <c r="J15" i="288"/>
  <c r="F15" i="288"/>
  <c r="R14" i="288"/>
  <c r="Q14" i="288"/>
  <c r="P14" i="288"/>
  <c r="N14" i="288"/>
  <c r="J14" i="288"/>
  <c r="F14" i="288"/>
  <c r="R13" i="288"/>
  <c r="Q13" i="288"/>
  <c r="P13" i="288"/>
  <c r="N13" i="288"/>
  <c r="J13" i="288"/>
  <c r="F13" i="288"/>
  <c r="R12" i="288"/>
  <c r="Q12" i="288"/>
  <c r="P12" i="288"/>
  <c r="N12" i="288"/>
  <c r="J12" i="288"/>
  <c r="F12" i="288"/>
  <c r="R11" i="288"/>
  <c r="Q11" i="288"/>
  <c r="P11" i="288"/>
  <c r="N11" i="288"/>
  <c r="J11" i="288"/>
  <c r="F11" i="288"/>
  <c r="R10" i="288"/>
  <c r="Q10" i="288"/>
  <c r="P10" i="288"/>
  <c r="N10" i="288"/>
  <c r="J10" i="288"/>
  <c r="F10" i="288"/>
  <c r="R9" i="288"/>
  <c r="Q9" i="288"/>
  <c r="P9" i="288"/>
  <c r="N9" i="288"/>
  <c r="J9" i="288"/>
  <c r="F9" i="288"/>
  <c r="R8" i="288"/>
  <c r="Q8" i="288"/>
  <c r="P8" i="288"/>
  <c r="N8" i="288"/>
  <c r="J8" i="288"/>
  <c r="F8" i="288"/>
  <c r="R7" i="288"/>
  <c r="Q7" i="288"/>
  <c r="P7" i="288"/>
  <c r="N7" i="288"/>
  <c r="J7" i="288"/>
  <c r="F7" i="288"/>
  <c r="AK6" i="288"/>
  <c r="AJ6" i="288"/>
  <c r="AI6" i="288"/>
  <c r="R6" i="288"/>
  <c r="F13" i="292" l="1"/>
  <c r="F18" i="292"/>
  <c r="F20" i="292"/>
  <c r="F22" i="292"/>
  <c r="F9" i="292"/>
  <c r="F68" i="288"/>
  <c r="F70" i="288"/>
  <c r="F71" i="288"/>
  <c r="F72" i="288"/>
  <c r="F73" i="288"/>
  <c r="F75" i="288"/>
  <c r="F80" i="288"/>
  <c r="F10" i="292"/>
  <c r="F15" i="292"/>
  <c r="F19" i="292"/>
  <c r="F21" i="292"/>
  <c r="F8" i="292"/>
  <c r="F16" i="292"/>
  <c r="J52" i="288"/>
  <c r="F12" i="292"/>
  <c r="F17" i="292"/>
  <c r="J56" i="288"/>
  <c r="J50" i="288"/>
  <c r="J51" i="288"/>
  <c r="F14" i="292"/>
  <c r="J49" i="288"/>
  <c r="J57" i="288"/>
  <c r="F11" i="292"/>
  <c r="J55" i="288"/>
  <c r="J59" i="288"/>
  <c r="J58" i="288"/>
  <c r="J60" i="288"/>
  <c r="N54" i="288"/>
  <c r="N60" i="288"/>
  <c r="N49" i="288"/>
  <c r="N57" i="288"/>
  <c r="N55" i="288"/>
  <c r="N50" i="288"/>
  <c r="N58" i="288"/>
  <c r="N53" i="288"/>
  <c r="N56" i="288"/>
  <c r="F55" i="288"/>
  <c r="F50" i="288"/>
  <c r="F58" i="288"/>
  <c r="F53" i="288"/>
  <c r="F51" i="288"/>
  <c r="F56" i="288"/>
  <c r="F57" i="288"/>
  <c r="F47" i="288"/>
  <c r="AC16" i="288" s="1"/>
  <c r="F59" i="288"/>
  <c r="F52" i="288"/>
  <c r="F60" i="288"/>
  <c r="F49" i="288"/>
  <c r="F79" i="288"/>
  <c r="F74" i="288"/>
  <c r="F69" i="288"/>
  <c r="N47" i="288"/>
  <c r="F67" i="288"/>
  <c r="N48" i="288"/>
  <c r="J47" i="288"/>
  <c r="F76" i="288"/>
  <c r="N51" i="288"/>
  <c r="N59" i="288"/>
  <c r="N52" i="288"/>
  <c r="J53" i="288"/>
  <c r="J48" i="288"/>
  <c r="F77" i="288"/>
  <c r="J54" i="288"/>
  <c r="F48" i="288"/>
  <c r="F54" i="288"/>
  <c r="AD9" i="288" l="1"/>
  <c r="AG9" i="288"/>
  <c r="V16" i="288"/>
  <c r="AA19" i="288"/>
  <c r="Y20" i="288"/>
  <c r="AA8" i="288"/>
  <c r="U11" i="288"/>
  <c r="Y16" i="288"/>
  <c r="U20" i="288"/>
  <c r="AD11" i="288"/>
  <c r="U18" i="288"/>
  <c r="AC18" i="288"/>
  <c r="Z14" i="288"/>
  <c r="Y9" i="288"/>
  <c r="AG17" i="288"/>
  <c r="AF18" i="288"/>
  <c r="V15" i="288"/>
  <c r="AC19" i="288"/>
  <c r="U19" i="288"/>
  <c r="AE8" i="288"/>
  <c r="AF9" i="288"/>
  <c r="AE12" i="288"/>
  <c r="W19" i="288"/>
  <c r="W16" i="288"/>
  <c r="X20" i="288"/>
  <c r="AA17" i="288"/>
  <c r="X12" i="288"/>
  <c r="W10" i="288"/>
  <c r="W13" i="288"/>
  <c r="AI13" i="288" s="1"/>
  <c r="X13" i="288"/>
  <c r="Z16" i="288"/>
  <c r="W8" i="288"/>
  <c r="U17" i="288"/>
  <c r="Y19" i="288"/>
  <c r="V17" i="288"/>
  <c r="AD18" i="288"/>
  <c r="Y11" i="288"/>
  <c r="Y15" i="288"/>
  <c r="AA15" i="288"/>
  <c r="X8" i="288"/>
  <c r="X19" i="288"/>
  <c r="AB20" i="288"/>
  <c r="Z11" i="288"/>
  <c r="AD13" i="288"/>
  <c r="Z18" i="288"/>
  <c r="V20" i="288"/>
  <c r="AD7" i="288"/>
  <c r="AF16" i="288"/>
  <c r="AC17" i="288"/>
  <c r="U16" i="288"/>
  <c r="X16" i="288"/>
  <c r="AB16" i="288"/>
  <c r="AG16" i="288"/>
  <c r="AA20" i="288"/>
  <c r="Y13" i="288"/>
  <c r="AD16" i="288"/>
  <c r="AA16" i="288"/>
  <c r="AJ16" i="288" s="1"/>
  <c r="AE9" i="288"/>
  <c r="V14" i="288"/>
  <c r="AG11" i="288"/>
  <c r="AA9" i="288"/>
  <c r="W18" i="288"/>
  <c r="U9" i="288"/>
  <c r="AE18" i="288"/>
  <c r="AK18" i="288" s="1"/>
  <c r="Y14" i="288"/>
  <c r="AG18" i="288"/>
  <c r="AB11" i="288"/>
  <c r="Y17" i="288"/>
  <c r="AD19" i="288"/>
  <c r="V18" i="288"/>
  <c r="AG14" i="288"/>
  <c r="AE11" i="288"/>
  <c r="AG19" i="288"/>
  <c r="AE16" i="288"/>
  <c r="V7" i="288"/>
  <c r="Y10" i="288"/>
  <c r="AB7" i="288"/>
  <c r="U15" i="288"/>
  <c r="AI19" i="288"/>
  <c r="AF15" i="288"/>
  <c r="AC14" i="288"/>
  <c r="AC11" i="288"/>
  <c r="U13" i="288"/>
  <c r="AC13" i="288"/>
  <c r="AC12" i="288"/>
  <c r="AA10" i="288"/>
  <c r="Z10" i="288"/>
  <c r="W20" i="288"/>
  <c r="AI20" i="288" s="1"/>
  <c r="AG20" i="288"/>
  <c r="W17" i="288"/>
  <c r="AG7" i="288"/>
  <c r="AC15" i="288"/>
  <c r="AB10" i="288"/>
  <c r="AD20" i="288"/>
  <c r="Z9" i="288"/>
  <c r="W14" i="288"/>
  <c r="AD8" i="288"/>
  <c r="X7" i="288"/>
  <c r="V10" i="288"/>
  <c r="W7" i="288"/>
  <c r="Z7" i="288"/>
  <c r="AG13" i="288"/>
  <c r="AE17" i="288"/>
  <c r="V11" i="288"/>
  <c r="AE7" i="288"/>
  <c r="Z17" i="288"/>
  <c r="AB8" i="288"/>
  <c r="X9" i="288"/>
  <c r="Y18" i="288"/>
  <c r="AF12" i="288"/>
  <c r="AD12" i="288"/>
  <c r="AF10" i="288"/>
  <c r="X15" i="288"/>
  <c r="W15" i="288"/>
  <c r="X10" i="288"/>
  <c r="AB14" i="288"/>
  <c r="AC20" i="288"/>
  <c r="AA18" i="288"/>
  <c r="Z13" i="288"/>
  <c r="AC10" i="288"/>
  <c r="AB15" i="288"/>
  <c r="V12" i="288"/>
  <c r="AC8" i="288"/>
  <c r="AF13" i="288"/>
  <c r="AJ15" i="288"/>
  <c r="AG8" i="288"/>
  <c r="AB12" i="288"/>
  <c r="W11" i="288"/>
  <c r="Z20" i="288"/>
  <c r="U7" i="288"/>
  <c r="Y12" i="288"/>
  <c r="AB18" i="288"/>
  <c r="AA13" i="288"/>
  <c r="Z8" i="288"/>
  <c r="AG10" i="288"/>
  <c r="AG15" i="288"/>
  <c r="V13" i="288"/>
  <c r="AE20" i="288"/>
  <c r="AF7" i="288"/>
  <c r="AF14" i="288"/>
  <c r="W12" i="288"/>
  <c r="AC9" i="288"/>
  <c r="AD14" i="288"/>
  <c r="Z15" i="288"/>
  <c r="AE19" i="288"/>
  <c r="V8" i="288"/>
  <c r="V9" i="288"/>
  <c r="V19" i="288"/>
  <c r="U14" i="288"/>
  <c r="AD10" i="288"/>
  <c r="AA11" i="288"/>
  <c r="AJ11" i="288" s="1"/>
  <c r="X17" i="288"/>
  <c r="AB9" i="288"/>
  <c r="X14" i="288"/>
  <c r="W9" i="288"/>
  <c r="AF11" i="288"/>
  <c r="AK11" i="288" s="1"/>
  <c r="AF8" i="288"/>
  <c r="AK8" i="288" s="1"/>
  <c r="AA12" i="288"/>
  <c r="AB17" i="288"/>
  <c r="AJ17" i="288" s="1"/>
  <c r="AD17" i="288"/>
  <c r="AA7" i="288"/>
  <c r="AF17" i="288"/>
  <c r="Z19" i="288"/>
  <c r="AF20" i="288"/>
  <c r="AE15" i="288"/>
  <c r="X11" i="288"/>
  <c r="U12" i="288"/>
  <c r="AB19" i="288"/>
  <c r="AJ19" i="288" s="1"/>
  <c r="Z12" i="288"/>
  <c r="Y8" i="288"/>
  <c r="AD15" i="288"/>
  <c r="U10" i="288"/>
  <c r="AG12" i="288"/>
  <c r="Y7" i="288"/>
  <c r="AE14" i="288"/>
  <c r="AF19" i="288"/>
  <c r="X18" i="288"/>
  <c r="AI18" i="288" s="1"/>
  <c r="U8" i="288"/>
  <c r="AC7" i="288"/>
  <c r="AA14" i="288"/>
  <c r="AE10" i="288"/>
  <c r="AB13" i="288"/>
  <c r="AE13" i="288"/>
  <c r="AI8" i="288" l="1"/>
  <c r="AI16" i="288"/>
  <c r="AJ9" i="288"/>
  <c r="AJ20" i="288"/>
  <c r="AI9" i="288"/>
  <c r="AJ8" i="288"/>
  <c r="AK12" i="288"/>
  <c r="AK20" i="288"/>
  <c r="AK16" i="288"/>
  <c r="AK9" i="288"/>
  <c r="AI10" i="288"/>
  <c r="AI11" i="288"/>
  <c r="AK14" i="288"/>
  <c r="AI12" i="288"/>
  <c r="AJ12" i="288"/>
  <c r="AI15" i="288"/>
  <c r="AI7" i="288"/>
  <c r="AJ10" i="288"/>
  <c r="AI14" i="288"/>
  <c r="AK13" i="288"/>
  <c r="AK7" i="288"/>
  <c r="AK10" i="288"/>
  <c r="AJ14" i="288"/>
  <c r="AJ13" i="288"/>
  <c r="AJ18" i="288"/>
  <c r="AI17" i="288"/>
  <c r="AK15" i="288"/>
  <c r="AJ7" i="288"/>
  <c r="AK19" i="288"/>
  <c r="AK17" i="288"/>
  <c r="E22" i="285" l="1"/>
  <c r="D22" i="285"/>
  <c r="C22" i="285"/>
  <c r="E21" i="285"/>
  <c r="D21" i="285"/>
  <c r="C21" i="285"/>
  <c r="F21" i="285" s="1"/>
  <c r="E20" i="285"/>
  <c r="D20" i="285"/>
  <c r="C20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4" i="285"/>
  <c r="D14" i="285"/>
  <c r="C14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8" i="285"/>
  <c r="D8" i="285"/>
  <c r="C8" i="285"/>
  <c r="R20" i="281"/>
  <c r="Q20" i="281"/>
  <c r="P20" i="281"/>
  <c r="N20" i="281"/>
  <c r="J20" i="281"/>
  <c r="F20" i="281"/>
  <c r="R19" i="281"/>
  <c r="Q19" i="281"/>
  <c r="P19" i="281"/>
  <c r="N19" i="281"/>
  <c r="J19" i="281"/>
  <c r="F19" i="281"/>
  <c r="R18" i="281"/>
  <c r="Q18" i="281"/>
  <c r="P18" i="281"/>
  <c r="N18" i="281"/>
  <c r="J18" i="281"/>
  <c r="F18" i="281"/>
  <c r="R17" i="281"/>
  <c r="Q17" i="281"/>
  <c r="P17" i="281"/>
  <c r="N17" i="281"/>
  <c r="J17" i="281"/>
  <c r="F17" i="281"/>
  <c r="R16" i="281"/>
  <c r="Q16" i="281"/>
  <c r="P16" i="281"/>
  <c r="N16" i="281"/>
  <c r="J16" i="281"/>
  <c r="F16" i="281"/>
  <c r="R15" i="281"/>
  <c r="Q15" i="281"/>
  <c r="P15" i="281"/>
  <c r="N15" i="281"/>
  <c r="J15" i="281"/>
  <c r="F15" i="281"/>
  <c r="R14" i="281"/>
  <c r="Q14" i="281"/>
  <c r="P14" i="281"/>
  <c r="N14" i="281"/>
  <c r="J14" i="281"/>
  <c r="F14" i="281"/>
  <c r="R13" i="281"/>
  <c r="Q13" i="281"/>
  <c r="P13" i="281"/>
  <c r="N13" i="281"/>
  <c r="J13" i="281"/>
  <c r="F13" i="281"/>
  <c r="R12" i="281"/>
  <c r="Q12" i="281"/>
  <c r="P12" i="281"/>
  <c r="N12" i="281"/>
  <c r="J12" i="281"/>
  <c r="F12" i="281"/>
  <c r="R11" i="281"/>
  <c r="Q11" i="281"/>
  <c r="P11" i="281"/>
  <c r="N11" i="281"/>
  <c r="J11" i="281"/>
  <c r="F11" i="281"/>
  <c r="R10" i="281"/>
  <c r="Q10" i="281"/>
  <c r="P10" i="281"/>
  <c r="N10" i="281"/>
  <c r="J10" i="281"/>
  <c r="F10" i="281"/>
  <c r="R9" i="281"/>
  <c r="Q9" i="281"/>
  <c r="P9" i="281"/>
  <c r="N9" i="281"/>
  <c r="J9" i="281"/>
  <c r="F9" i="281"/>
  <c r="R8" i="281"/>
  <c r="Q8" i="281"/>
  <c r="P8" i="281"/>
  <c r="N8" i="281"/>
  <c r="J8" i="281"/>
  <c r="F8" i="281"/>
  <c r="R7" i="281"/>
  <c r="Q7" i="281"/>
  <c r="P7" i="281"/>
  <c r="N7" i="281"/>
  <c r="J7" i="281"/>
  <c r="F7" i="281"/>
  <c r="AK6" i="281"/>
  <c r="AJ6" i="281"/>
  <c r="AI6" i="281"/>
  <c r="R6" i="281"/>
  <c r="Q6" i="281"/>
  <c r="P6" i="281"/>
  <c r="N6" i="281"/>
  <c r="J6" i="281"/>
  <c r="F6" i="281"/>
  <c r="E21" i="280"/>
  <c r="D21" i="280"/>
  <c r="C21" i="280"/>
  <c r="F21" i="280" s="1"/>
  <c r="E20" i="280"/>
  <c r="D20" i="280"/>
  <c r="C20" i="280"/>
  <c r="E19" i="280"/>
  <c r="D19" i="280"/>
  <c r="C19" i="280"/>
  <c r="F19" i="280" s="1"/>
  <c r="E18" i="280"/>
  <c r="D18" i="280"/>
  <c r="C18" i="280"/>
  <c r="E17" i="280"/>
  <c r="D17" i="280"/>
  <c r="C17" i="280"/>
  <c r="E16" i="280"/>
  <c r="D16" i="280"/>
  <c r="F16" i="280" s="1"/>
  <c r="C16" i="280"/>
  <c r="E15" i="280"/>
  <c r="D15" i="280"/>
  <c r="C15" i="280"/>
  <c r="F15" i="280" s="1"/>
  <c r="E14" i="280"/>
  <c r="D14" i="280"/>
  <c r="C14" i="280"/>
  <c r="E13" i="280"/>
  <c r="D13" i="280"/>
  <c r="C13" i="280"/>
  <c r="E12" i="280"/>
  <c r="D12" i="280"/>
  <c r="C12" i="280"/>
  <c r="E11" i="280"/>
  <c r="D11" i="280"/>
  <c r="C11" i="280"/>
  <c r="F11" i="280" s="1"/>
  <c r="E10" i="280"/>
  <c r="D10" i="280"/>
  <c r="C10" i="280"/>
  <c r="E9" i="280"/>
  <c r="D9" i="280"/>
  <c r="C9" i="280"/>
  <c r="F9" i="280" s="1"/>
  <c r="E8" i="280"/>
  <c r="D8" i="280"/>
  <c r="C8" i="280"/>
  <c r="E7" i="280"/>
  <c r="D7" i="280"/>
  <c r="C7" i="280"/>
  <c r="F7" i="280" s="1"/>
  <c r="E22" i="278"/>
  <c r="D22" i="278"/>
  <c r="C22" i="278"/>
  <c r="E21" i="278"/>
  <c r="D21" i="278"/>
  <c r="C21" i="278"/>
  <c r="F21" i="278" s="1"/>
  <c r="E20" i="278"/>
  <c r="D20" i="278"/>
  <c r="C20" i="278"/>
  <c r="E19" i="278"/>
  <c r="D19" i="278"/>
  <c r="C19" i="278"/>
  <c r="E18" i="278"/>
  <c r="D18" i="278"/>
  <c r="C18" i="278"/>
  <c r="E17" i="278"/>
  <c r="D17" i="278"/>
  <c r="C17" i="278"/>
  <c r="F17" i="278" s="1"/>
  <c r="E16" i="278"/>
  <c r="D16" i="278"/>
  <c r="C16" i="278"/>
  <c r="E15" i="278"/>
  <c r="D15" i="278"/>
  <c r="C15" i="278"/>
  <c r="E14" i="278"/>
  <c r="D14" i="278"/>
  <c r="C14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8" i="278"/>
  <c r="D8" i="278"/>
  <c r="C8" i="278"/>
  <c r="D80" i="274"/>
  <c r="C80" i="274"/>
  <c r="D79" i="274"/>
  <c r="C79" i="274"/>
  <c r="D78" i="274"/>
  <c r="C78" i="274"/>
  <c r="D77" i="274"/>
  <c r="C77" i="274"/>
  <c r="D76" i="274"/>
  <c r="C76" i="274"/>
  <c r="D75" i="274"/>
  <c r="C75" i="274"/>
  <c r="D74" i="274"/>
  <c r="C74" i="274"/>
  <c r="D73" i="274"/>
  <c r="C73" i="274"/>
  <c r="D72" i="274"/>
  <c r="C72" i="274"/>
  <c r="D71" i="274"/>
  <c r="C71" i="274"/>
  <c r="D70" i="274"/>
  <c r="C70" i="274"/>
  <c r="D69" i="274"/>
  <c r="C69" i="274"/>
  <c r="D68" i="274"/>
  <c r="C68" i="274"/>
  <c r="D67" i="274"/>
  <c r="C67" i="274"/>
  <c r="L60" i="274"/>
  <c r="K60" i="274"/>
  <c r="H60" i="274"/>
  <c r="G60" i="274"/>
  <c r="D60" i="274"/>
  <c r="C60" i="274"/>
  <c r="L59" i="274"/>
  <c r="K59" i="274"/>
  <c r="H59" i="274"/>
  <c r="G59" i="274"/>
  <c r="D59" i="274"/>
  <c r="C59" i="274"/>
  <c r="L58" i="274"/>
  <c r="K58" i="274"/>
  <c r="H58" i="274"/>
  <c r="G58" i="274"/>
  <c r="D58" i="274"/>
  <c r="C58" i="274"/>
  <c r="L57" i="274"/>
  <c r="K57" i="274"/>
  <c r="H57" i="274"/>
  <c r="G57" i="274"/>
  <c r="D57" i="274"/>
  <c r="C57" i="274"/>
  <c r="L56" i="274"/>
  <c r="K56" i="274"/>
  <c r="H56" i="274"/>
  <c r="G56" i="274"/>
  <c r="D56" i="274"/>
  <c r="C56" i="274"/>
  <c r="L55" i="274"/>
  <c r="K55" i="274"/>
  <c r="H55" i="274"/>
  <c r="G55" i="274"/>
  <c r="D55" i="274"/>
  <c r="C55" i="274"/>
  <c r="L54" i="274"/>
  <c r="K54" i="274"/>
  <c r="H54" i="274"/>
  <c r="G54" i="274"/>
  <c r="D54" i="274"/>
  <c r="C54" i="274"/>
  <c r="L53" i="274"/>
  <c r="K53" i="274"/>
  <c r="H53" i="274"/>
  <c r="G53" i="274"/>
  <c r="D53" i="274"/>
  <c r="C53" i="274"/>
  <c r="L52" i="274"/>
  <c r="K52" i="274"/>
  <c r="H52" i="274"/>
  <c r="G52" i="274"/>
  <c r="D52" i="274"/>
  <c r="C52" i="274"/>
  <c r="L51" i="274"/>
  <c r="K51" i="274"/>
  <c r="H51" i="274"/>
  <c r="G51" i="274"/>
  <c r="D51" i="274"/>
  <c r="C51" i="274"/>
  <c r="L50" i="274"/>
  <c r="K50" i="274"/>
  <c r="H50" i="274"/>
  <c r="G50" i="274"/>
  <c r="D50" i="274"/>
  <c r="C50" i="274"/>
  <c r="L49" i="274"/>
  <c r="K49" i="274"/>
  <c r="H49" i="274"/>
  <c r="G49" i="274"/>
  <c r="D49" i="274"/>
  <c r="C49" i="274"/>
  <c r="L48" i="274"/>
  <c r="K48" i="274"/>
  <c r="H48" i="274"/>
  <c r="G48" i="274"/>
  <c r="D48" i="274"/>
  <c r="C48" i="274"/>
  <c r="L47" i="274"/>
  <c r="K47" i="274"/>
  <c r="H47" i="274"/>
  <c r="G47" i="274"/>
  <c r="D47" i="274"/>
  <c r="C47" i="274"/>
  <c r="P40" i="274"/>
  <c r="F40" i="274"/>
  <c r="P39" i="274"/>
  <c r="F39" i="274"/>
  <c r="P38" i="274"/>
  <c r="F38" i="274"/>
  <c r="P37" i="274"/>
  <c r="F37" i="274"/>
  <c r="P36" i="274"/>
  <c r="F36" i="274"/>
  <c r="P35" i="274"/>
  <c r="F35" i="274"/>
  <c r="P34" i="274"/>
  <c r="F34" i="274"/>
  <c r="P33" i="274"/>
  <c r="F33" i="274"/>
  <c r="P32" i="274"/>
  <c r="F32" i="274"/>
  <c r="P31" i="274"/>
  <c r="F31" i="274"/>
  <c r="P30" i="274"/>
  <c r="F30" i="274"/>
  <c r="P29" i="274"/>
  <c r="F29" i="274"/>
  <c r="P28" i="274"/>
  <c r="F28" i="274"/>
  <c r="P27" i="274"/>
  <c r="F27" i="274"/>
  <c r="P26" i="274"/>
  <c r="F26" i="274"/>
  <c r="R20" i="274"/>
  <c r="Q20" i="274"/>
  <c r="P20" i="274"/>
  <c r="N20" i="274"/>
  <c r="J20" i="274"/>
  <c r="F20" i="274"/>
  <c r="R19" i="274"/>
  <c r="Q19" i="274"/>
  <c r="P19" i="274"/>
  <c r="N19" i="274"/>
  <c r="J19" i="274"/>
  <c r="F19" i="274"/>
  <c r="R18" i="274"/>
  <c r="Q18" i="274"/>
  <c r="P18" i="274"/>
  <c r="N18" i="274"/>
  <c r="J18" i="274"/>
  <c r="F18" i="274"/>
  <c r="R17" i="274"/>
  <c r="Q17" i="274"/>
  <c r="P17" i="274"/>
  <c r="N17" i="274"/>
  <c r="J17" i="274"/>
  <c r="F17" i="274"/>
  <c r="R16" i="274"/>
  <c r="Q16" i="274"/>
  <c r="P16" i="274"/>
  <c r="N16" i="274"/>
  <c r="J16" i="274"/>
  <c r="F16" i="274"/>
  <c r="R15" i="274"/>
  <c r="Q15" i="274"/>
  <c r="P15" i="274"/>
  <c r="N15" i="274"/>
  <c r="J15" i="274"/>
  <c r="F15" i="274"/>
  <c r="R14" i="274"/>
  <c r="Q14" i="274"/>
  <c r="P14" i="274"/>
  <c r="N14" i="274"/>
  <c r="J14" i="274"/>
  <c r="F14" i="274"/>
  <c r="R13" i="274"/>
  <c r="Q13" i="274"/>
  <c r="P13" i="274"/>
  <c r="N13" i="274"/>
  <c r="J13" i="274"/>
  <c r="F13" i="274"/>
  <c r="R12" i="274"/>
  <c r="Q12" i="274"/>
  <c r="P12" i="274"/>
  <c r="N12" i="274"/>
  <c r="J12" i="274"/>
  <c r="F12" i="274"/>
  <c r="R11" i="274"/>
  <c r="Q11" i="274"/>
  <c r="P11" i="274"/>
  <c r="N11" i="274"/>
  <c r="J11" i="274"/>
  <c r="F11" i="274"/>
  <c r="R10" i="274"/>
  <c r="Q10" i="274"/>
  <c r="P10" i="274"/>
  <c r="N10" i="274"/>
  <c r="J10" i="274"/>
  <c r="F10" i="274"/>
  <c r="R9" i="274"/>
  <c r="Q9" i="274"/>
  <c r="P9" i="274"/>
  <c r="N9" i="274"/>
  <c r="J9" i="274"/>
  <c r="F9" i="274"/>
  <c r="R8" i="274"/>
  <c r="Q8" i="274"/>
  <c r="P8" i="274"/>
  <c r="N8" i="274"/>
  <c r="J8" i="274"/>
  <c r="F8" i="274"/>
  <c r="R7" i="274"/>
  <c r="Q7" i="274"/>
  <c r="P7" i="274"/>
  <c r="N7" i="274"/>
  <c r="N50" i="274" s="1"/>
  <c r="J7" i="274"/>
  <c r="F7" i="274"/>
  <c r="F47" i="274" s="1"/>
  <c r="AK6" i="274"/>
  <c r="AJ6" i="274"/>
  <c r="AI6" i="274"/>
  <c r="R6" i="274"/>
  <c r="Q6" i="274"/>
  <c r="P6" i="274"/>
  <c r="N6" i="274"/>
  <c r="J6" i="274"/>
  <c r="F6" i="274"/>
  <c r="F8" i="278" l="1"/>
  <c r="F10" i="278"/>
  <c r="F12" i="278"/>
  <c r="F14" i="278"/>
  <c r="F16" i="278"/>
  <c r="F18" i="278"/>
  <c r="F8" i="280"/>
  <c r="F10" i="280"/>
  <c r="F12" i="280"/>
  <c r="F8" i="285"/>
  <c r="F20" i="278"/>
  <c r="F22" i="278"/>
  <c r="F14" i="280"/>
  <c r="F18" i="280"/>
  <c r="F20" i="280"/>
  <c r="F9" i="278"/>
  <c r="F11" i="278"/>
  <c r="F13" i="278"/>
  <c r="F15" i="278"/>
  <c r="F10" i="285"/>
  <c r="F12" i="285"/>
  <c r="F49" i="274"/>
  <c r="N51" i="274"/>
  <c r="F50" i="274"/>
  <c r="F51" i="274"/>
  <c r="F52" i="274"/>
  <c r="F53" i="274"/>
  <c r="N53" i="274"/>
  <c r="N54" i="274"/>
  <c r="N55" i="274"/>
  <c r="N56" i="274"/>
  <c r="N57" i="274"/>
  <c r="F58" i="274"/>
  <c r="N58" i="274"/>
  <c r="F59" i="274"/>
  <c r="N59" i="274"/>
  <c r="F60" i="274"/>
  <c r="F69" i="274"/>
  <c r="F67" i="274"/>
  <c r="F68" i="274"/>
  <c r="F72" i="274"/>
  <c r="F73" i="274"/>
  <c r="F75" i="274"/>
  <c r="F76" i="274"/>
  <c r="F77" i="274"/>
  <c r="F78" i="274"/>
  <c r="F79" i="274"/>
  <c r="F80" i="274"/>
  <c r="F54" i="274"/>
  <c r="J47" i="274"/>
  <c r="J49" i="274"/>
  <c r="J59" i="274"/>
  <c r="J51" i="274"/>
  <c r="J52" i="274"/>
  <c r="J53" i="274"/>
  <c r="J54" i="274"/>
  <c r="J56" i="274"/>
  <c r="J57" i="274"/>
  <c r="J58" i="274"/>
  <c r="J60" i="274"/>
  <c r="F19" i="278"/>
  <c r="F13" i="280"/>
  <c r="F17" i="280"/>
  <c r="F14" i="285"/>
  <c r="F16" i="285"/>
  <c r="F9" i="285"/>
  <c r="F19" i="285"/>
  <c r="F20" i="285"/>
  <c r="F15" i="285"/>
  <c r="F11" i="285"/>
  <c r="F13" i="285"/>
  <c r="F18" i="285"/>
  <c r="F17" i="285"/>
  <c r="F22" i="285"/>
  <c r="AG16" i="281"/>
  <c r="AF20" i="281"/>
  <c r="AE16" i="274"/>
  <c r="AF16" i="274"/>
  <c r="AC16" i="274"/>
  <c r="AB16" i="274"/>
  <c r="AA16" i="274"/>
  <c r="Z16" i="274"/>
  <c r="Y16" i="274"/>
  <c r="X16" i="274"/>
  <c r="W16" i="274"/>
  <c r="V16" i="274"/>
  <c r="AG16" i="274"/>
  <c r="AD16" i="274"/>
  <c r="F56" i="274"/>
  <c r="N47" i="274"/>
  <c r="N52" i="274"/>
  <c r="F74" i="274"/>
  <c r="F70" i="274"/>
  <c r="N49" i="274"/>
  <c r="F55" i="274"/>
  <c r="F48" i="274"/>
  <c r="Z20" i="274" s="1"/>
  <c r="F71" i="274"/>
  <c r="J48" i="274"/>
  <c r="F57" i="274"/>
  <c r="J55" i="274"/>
  <c r="N60" i="274"/>
  <c r="J50" i="274"/>
  <c r="N48" i="274"/>
  <c r="L96" i="267"/>
  <c r="T62" i="267"/>
  <c r="U62" i="267"/>
  <c r="E22" i="273"/>
  <c r="D22" i="273"/>
  <c r="C22" i="273"/>
  <c r="F22" i="273" s="1"/>
  <c r="E21" i="273"/>
  <c r="D21" i="273"/>
  <c r="C21" i="273"/>
  <c r="F21" i="273" s="1"/>
  <c r="E20" i="273"/>
  <c r="D20" i="273"/>
  <c r="C20" i="273"/>
  <c r="E19" i="273"/>
  <c r="D19" i="273"/>
  <c r="C19" i="273"/>
  <c r="E18" i="273"/>
  <c r="D18" i="273"/>
  <c r="C18" i="273"/>
  <c r="E17" i="273"/>
  <c r="D17" i="273"/>
  <c r="C17" i="273"/>
  <c r="F17" i="273" s="1"/>
  <c r="E16" i="273"/>
  <c r="D16" i="273"/>
  <c r="C16" i="273"/>
  <c r="E15" i="273"/>
  <c r="D15" i="273"/>
  <c r="C15" i="273"/>
  <c r="E14" i="273"/>
  <c r="D14" i="273"/>
  <c r="C14" i="273"/>
  <c r="E13" i="273"/>
  <c r="D13" i="273"/>
  <c r="C13" i="273"/>
  <c r="F13" i="273" s="1"/>
  <c r="E12" i="273"/>
  <c r="D12" i="273"/>
  <c r="C12" i="273"/>
  <c r="E11" i="273"/>
  <c r="D11" i="273"/>
  <c r="C11" i="273"/>
  <c r="E10" i="273"/>
  <c r="D10" i="273"/>
  <c r="C10" i="273"/>
  <c r="E9" i="273"/>
  <c r="D9" i="273"/>
  <c r="C9" i="273"/>
  <c r="E8" i="273"/>
  <c r="D8" i="273"/>
  <c r="C8" i="273"/>
  <c r="E22" i="272"/>
  <c r="D22" i="272"/>
  <c r="C22" i="272"/>
  <c r="E21" i="272"/>
  <c r="D21" i="272"/>
  <c r="F21" i="272" s="1"/>
  <c r="C21" i="272"/>
  <c r="E20" i="272"/>
  <c r="D20" i="272"/>
  <c r="C20" i="272"/>
  <c r="E19" i="272"/>
  <c r="D19" i="272"/>
  <c r="C19" i="272"/>
  <c r="E18" i="272"/>
  <c r="D18" i="272"/>
  <c r="C18" i="272"/>
  <c r="F18" i="272" s="1"/>
  <c r="E17" i="272"/>
  <c r="D17" i="272"/>
  <c r="C17" i="272"/>
  <c r="E16" i="272"/>
  <c r="D16" i="272"/>
  <c r="C16" i="272"/>
  <c r="E15" i="272"/>
  <c r="D15" i="272"/>
  <c r="C15" i="272"/>
  <c r="E14" i="272"/>
  <c r="D14" i="272"/>
  <c r="C14" i="272"/>
  <c r="E13" i="272"/>
  <c r="D13" i="272"/>
  <c r="F13" i="272" s="1"/>
  <c r="C13" i="272"/>
  <c r="E12" i="272"/>
  <c r="D12" i="272"/>
  <c r="C12" i="272"/>
  <c r="E11" i="272"/>
  <c r="D11" i="272"/>
  <c r="C11" i="272"/>
  <c r="E10" i="272"/>
  <c r="D10" i="272"/>
  <c r="C10" i="272"/>
  <c r="E9" i="272"/>
  <c r="D9" i="272"/>
  <c r="C9" i="272"/>
  <c r="E8" i="272"/>
  <c r="D8" i="272"/>
  <c r="C8" i="272"/>
  <c r="E22" i="271"/>
  <c r="D22" i="271"/>
  <c r="C22" i="271"/>
  <c r="E21" i="271"/>
  <c r="D21" i="271"/>
  <c r="C21" i="271"/>
  <c r="E20" i="271"/>
  <c r="D20" i="271"/>
  <c r="C20" i="271"/>
  <c r="E19" i="271"/>
  <c r="D19" i="271"/>
  <c r="C19" i="271"/>
  <c r="F19" i="271" s="1"/>
  <c r="E18" i="271"/>
  <c r="D18" i="271"/>
  <c r="C18" i="271"/>
  <c r="E17" i="271"/>
  <c r="D17" i="271"/>
  <c r="C17" i="271"/>
  <c r="F17" i="271" s="1"/>
  <c r="E16" i="271"/>
  <c r="D16" i="271"/>
  <c r="C16" i="271"/>
  <c r="E15" i="271"/>
  <c r="D15" i="271"/>
  <c r="C15" i="271"/>
  <c r="F15" i="271" s="1"/>
  <c r="E14" i="271"/>
  <c r="D14" i="271"/>
  <c r="C14" i="271"/>
  <c r="E13" i="271"/>
  <c r="D13" i="271"/>
  <c r="C13" i="271"/>
  <c r="E12" i="271"/>
  <c r="D12" i="271"/>
  <c r="C12" i="271"/>
  <c r="E11" i="271"/>
  <c r="D11" i="271"/>
  <c r="C11" i="271"/>
  <c r="F11" i="271" s="1"/>
  <c r="E10" i="271"/>
  <c r="D10" i="271"/>
  <c r="C10" i="271"/>
  <c r="E9" i="271"/>
  <c r="D9" i="271"/>
  <c r="C9" i="271"/>
  <c r="F9" i="271" s="1"/>
  <c r="E8" i="271"/>
  <c r="D8" i="271"/>
  <c r="C8" i="271"/>
  <c r="U76" i="267"/>
  <c r="Q95" i="267" s="1"/>
  <c r="T76" i="267"/>
  <c r="N76" i="267"/>
  <c r="J95" i="267" s="1"/>
  <c r="M76" i="267"/>
  <c r="G76" i="267"/>
  <c r="F76" i="267"/>
  <c r="U75" i="267"/>
  <c r="Q94" i="267" s="1"/>
  <c r="T75" i="267"/>
  <c r="N75" i="267"/>
  <c r="M75" i="267"/>
  <c r="G75" i="267"/>
  <c r="C94" i="267" s="1"/>
  <c r="F75" i="267"/>
  <c r="U74" i="267"/>
  <c r="T74" i="267"/>
  <c r="N74" i="267"/>
  <c r="J93" i="267" s="1"/>
  <c r="M74" i="267"/>
  <c r="G74" i="267"/>
  <c r="C93" i="267" s="1"/>
  <c r="F74" i="267"/>
  <c r="U73" i="267"/>
  <c r="T73" i="267"/>
  <c r="N73" i="267"/>
  <c r="M73" i="267"/>
  <c r="G73" i="267"/>
  <c r="C92" i="267" s="1"/>
  <c r="F73" i="267"/>
  <c r="U72" i="267"/>
  <c r="Q91" i="267" s="1"/>
  <c r="T72" i="267"/>
  <c r="N72" i="267"/>
  <c r="J91" i="267" s="1"/>
  <c r="M72" i="267"/>
  <c r="G72" i="267"/>
  <c r="F72" i="267"/>
  <c r="U71" i="267"/>
  <c r="Q90" i="267" s="1"/>
  <c r="T71" i="267"/>
  <c r="N71" i="267"/>
  <c r="J90" i="267" s="1"/>
  <c r="M71" i="267"/>
  <c r="G71" i="267"/>
  <c r="C90" i="267" s="1"/>
  <c r="F71" i="267"/>
  <c r="U70" i="267"/>
  <c r="T70" i="267"/>
  <c r="N70" i="267"/>
  <c r="J89" i="267" s="1"/>
  <c r="M70" i="267"/>
  <c r="G70" i="267"/>
  <c r="F70" i="267"/>
  <c r="U69" i="267"/>
  <c r="Q88" i="267" s="1"/>
  <c r="T69" i="267"/>
  <c r="N69" i="267"/>
  <c r="M69" i="267"/>
  <c r="G69" i="267"/>
  <c r="C88" i="267" s="1"/>
  <c r="F69" i="267"/>
  <c r="U68" i="267"/>
  <c r="Q87" i="267" s="1"/>
  <c r="T68" i="267"/>
  <c r="N68" i="267"/>
  <c r="M68" i="267"/>
  <c r="G68" i="267"/>
  <c r="F68" i="267"/>
  <c r="U67" i="267"/>
  <c r="Q86" i="267" s="1"/>
  <c r="T67" i="267"/>
  <c r="N67" i="267"/>
  <c r="J86" i="267" s="1"/>
  <c r="M67" i="267"/>
  <c r="G67" i="267"/>
  <c r="C86" i="267" s="1"/>
  <c r="F67" i="267"/>
  <c r="U66" i="267"/>
  <c r="T66" i="267"/>
  <c r="N66" i="267"/>
  <c r="J85" i="267" s="1"/>
  <c r="M66" i="267"/>
  <c r="G66" i="267"/>
  <c r="C85" i="267" s="1"/>
  <c r="F66" i="267"/>
  <c r="U65" i="267"/>
  <c r="Q84" i="267" s="1"/>
  <c r="T65" i="267"/>
  <c r="N65" i="267"/>
  <c r="M65" i="267"/>
  <c r="G65" i="267"/>
  <c r="C84" i="267" s="1"/>
  <c r="F65" i="267"/>
  <c r="U64" i="267"/>
  <c r="T64" i="267"/>
  <c r="N64" i="267"/>
  <c r="J83" i="267" s="1"/>
  <c r="M64" i="267"/>
  <c r="G64" i="267"/>
  <c r="F64" i="267"/>
  <c r="U63" i="267"/>
  <c r="Q82" i="267" s="1"/>
  <c r="T63" i="267"/>
  <c r="N63" i="267"/>
  <c r="J82" i="267" s="1"/>
  <c r="M63" i="267"/>
  <c r="G63" i="267"/>
  <c r="F63" i="267"/>
  <c r="N62" i="267"/>
  <c r="J81" i="267" s="1"/>
  <c r="M62" i="267"/>
  <c r="G62" i="267"/>
  <c r="C81" i="267" s="1"/>
  <c r="F62" i="267"/>
  <c r="U57" i="267"/>
  <c r="T57" i="267"/>
  <c r="N57" i="267"/>
  <c r="M57" i="267"/>
  <c r="G57" i="267"/>
  <c r="E95" i="267" s="1"/>
  <c r="F57" i="267"/>
  <c r="U56" i="267"/>
  <c r="T56" i="267"/>
  <c r="N56" i="267"/>
  <c r="M56" i="267"/>
  <c r="G56" i="267"/>
  <c r="E94" i="267" s="1"/>
  <c r="F56" i="267"/>
  <c r="U55" i="267"/>
  <c r="T55" i="267"/>
  <c r="N55" i="267"/>
  <c r="M55" i="267"/>
  <c r="G55" i="267"/>
  <c r="E93" i="267" s="1"/>
  <c r="F55" i="267"/>
  <c r="U54" i="267"/>
  <c r="T54" i="267"/>
  <c r="N54" i="267"/>
  <c r="M54" i="267"/>
  <c r="G54" i="267"/>
  <c r="E92" i="267" s="1"/>
  <c r="F54" i="267"/>
  <c r="U53" i="267"/>
  <c r="T53" i="267"/>
  <c r="N53" i="267"/>
  <c r="M53" i="267"/>
  <c r="G53" i="267"/>
  <c r="E91" i="267" s="1"/>
  <c r="F53" i="267"/>
  <c r="U52" i="267"/>
  <c r="T52" i="267"/>
  <c r="N52" i="267"/>
  <c r="M52" i="267"/>
  <c r="G52" i="267"/>
  <c r="F52" i="267"/>
  <c r="U51" i="267"/>
  <c r="T51" i="267"/>
  <c r="N51" i="267"/>
  <c r="M51" i="267"/>
  <c r="G51" i="267"/>
  <c r="E89" i="267" s="1"/>
  <c r="F51" i="267"/>
  <c r="U50" i="267"/>
  <c r="T50" i="267"/>
  <c r="N50" i="267"/>
  <c r="M50" i="267"/>
  <c r="G50" i="267"/>
  <c r="E88" i="267" s="1"/>
  <c r="F50" i="267"/>
  <c r="U49" i="267"/>
  <c r="T49" i="267"/>
  <c r="N49" i="267"/>
  <c r="M49" i="267"/>
  <c r="G49" i="267"/>
  <c r="E87" i="267" s="1"/>
  <c r="F49" i="267"/>
  <c r="U48" i="267"/>
  <c r="T48" i="267"/>
  <c r="N48" i="267"/>
  <c r="M48" i="267"/>
  <c r="G48" i="267"/>
  <c r="F48" i="267"/>
  <c r="U47" i="267"/>
  <c r="T47" i="267"/>
  <c r="N47" i="267"/>
  <c r="M47" i="267"/>
  <c r="G47" i="267"/>
  <c r="E85" i="267" s="1"/>
  <c r="F47" i="267"/>
  <c r="U46" i="267"/>
  <c r="T46" i="267"/>
  <c r="N46" i="267"/>
  <c r="M46" i="267"/>
  <c r="G46" i="267"/>
  <c r="E84" i="267" s="1"/>
  <c r="F46" i="267"/>
  <c r="U45" i="267"/>
  <c r="T45" i="267"/>
  <c r="N45" i="267"/>
  <c r="M45" i="267"/>
  <c r="G45" i="267"/>
  <c r="E83" i="267" s="1"/>
  <c r="F45" i="267"/>
  <c r="U44" i="267"/>
  <c r="T44" i="267"/>
  <c r="N44" i="267"/>
  <c r="L82" i="267" s="1"/>
  <c r="M44" i="267"/>
  <c r="G44" i="267"/>
  <c r="F44" i="267"/>
  <c r="U43" i="267"/>
  <c r="T43" i="267"/>
  <c r="N43" i="267"/>
  <c r="L81" i="267" s="1"/>
  <c r="M43" i="267"/>
  <c r="G43" i="267"/>
  <c r="E81" i="267" s="1"/>
  <c r="F43" i="267"/>
  <c r="U38" i="267"/>
  <c r="R95" i="267" s="1"/>
  <c r="T38" i="267"/>
  <c r="N38" i="267"/>
  <c r="K95" i="267" s="1"/>
  <c r="M38" i="267"/>
  <c r="G38" i="267"/>
  <c r="D95" i="267" s="1"/>
  <c r="F38" i="267"/>
  <c r="U37" i="267"/>
  <c r="R94" i="267" s="1"/>
  <c r="T37" i="267"/>
  <c r="N37" i="267"/>
  <c r="K94" i="267" s="1"/>
  <c r="M37" i="267"/>
  <c r="G37" i="267"/>
  <c r="D94" i="267" s="1"/>
  <c r="F37" i="267"/>
  <c r="U36" i="267"/>
  <c r="R93" i="267" s="1"/>
  <c r="T36" i="267"/>
  <c r="N36" i="267"/>
  <c r="K93" i="267" s="1"/>
  <c r="M36" i="267"/>
  <c r="G36" i="267"/>
  <c r="D93" i="267" s="1"/>
  <c r="F36" i="267"/>
  <c r="U35" i="267"/>
  <c r="R92" i="267" s="1"/>
  <c r="T35" i="267"/>
  <c r="N35" i="267"/>
  <c r="K92" i="267" s="1"/>
  <c r="M35" i="267"/>
  <c r="G35" i="267"/>
  <c r="D92" i="267" s="1"/>
  <c r="F35" i="267"/>
  <c r="U34" i="267"/>
  <c r="R91" i="267" s="1"/>
  <c r="T34" i="267"/>
  <c r="N34" i="267"/>
  <c r="K91" i="267" s="1"/>
  <c r="M34" i="267"/>
  <c r="G34" i="267"/>
  <c r="D91" i="267" s="1"/>
  <c r="F34" i="267"/>
  <c r="U33" i="267"/>
  <c r="R90" i="267" s="1"/>
  <c r="T33" i="267"/>
  <c r="N33" i="267"/>
  <c r="K90" i="267" s="1"/>
  <c r="M33" i="267"/>
  <c r="G33" i="267"/>
  <c r="D90" i="267" s="1"/>
  <c r="F33" i="267"/>
  <c r="U32" i="267"/>
  <c r="R89" i="267" s="1"/>
  <c r="T32" i="267"/>
  <c r="N32" i="267"/>
  <c r="K89" i="267" s="1"/>
  <c r="M32" i="267"/>
  <c r="G32" i="267"/>
  <c r="D89" i="267" s="1"/>
  <c r="F32" i="267"/>
  <c r="U31" i="267"/>
  <c r="R88" i="267" s="1"/>
  <c r="T31" i="267"/>
  <c r="N31" i="267"/>
  <c r="K88" i="267" s="1"/>
  <c r="M31" i="267"/>
  <c r="G31" i="267"/>
  <c r="D88" i="267" s="1"/>
  <c r="F31" i="267"/>
  <c r="U30" i="267"/>
  <c r="R87" i="267" s="1"/>
  <c r="T30" i="267"/>
  <c r="N30" i="267"/>
  <c r="K87" i="267" s="1"/>
  <c r="M30" i="267"/>
  <c r="G30" i="267"/>
  <c r="D87" i="267" s="1"/>
  <c r="F30" i="267"/>
  <c r="U29" i="267"/>
  <c r="R86" i="267" s="1"/>
  <c r="T29" i="267"/>
  <c r="N29" i="267"/>
  <c r="K86" i="267" s="1"/>
  <c r="M29" i="267"/>
  <c r="G29" i="267"/>
  <c r="D86" i="267" s="1"/>
  <c r="F29" i="267"/>
  <c r="U28" i="267"/>
  <c r="R85" i="267" s="1"/>
  <c r="T28" i="267"/>
  <c r="N28" i="267"/>
  <c r="K85" i="267" s="1"/>
  <c r="M28" i="267"/>
  <c r="G28" i="267"/>
  <c r="D85" i="267" s="1"/>
  <c r="F28" i="267"/>
  <c r="U27" i="267"/>
  <c r="R84" i="267" s="1"/>
  <c r="T27" i="267"/>
  <c r="N27" i="267"/>
  <c r="K84" i="267" s="1"/>
  <c r="M27" i="267"/>
  <c r="G27" i="267"/>
  <c r="D84" i="267" s="1"/>
  <c r="F27" i="267"/>
  <c r="U26" i="267"/>
  <c r="R83" i="267" s="1"/>
  <c r="T26" i="267"/>
  <c r="N26" i="267"/>
  <c r="K83" i="267" s="1"/>
  <c r="M26" i="267"/>
  <c r="G26" i="267"/>
  <c r="D83" i="267" s="1"/>
  <c r="F26" i="267"/>
  <c r="U25" i="267"/>
  <c r="R82" i="267" s="1"/>
  <c r="T25" i="267"/>
  <c r="N25" i="267"/>
  <c r="K82" i="267" s="1"/>
  <c r="M25" i="267"/>
  <c r="G25" i="267"/>
  <c r="D82" i="267" s="1"/>
  <c r="F25" i="267"/>
  <c r="U24" i="267"/>
  <c r="R81" i="267" s="1"/>
  <c r="T24" i="267"/>
  <c r="N24" i="267"/>
  <c r="K81" i="267" s="1"/>
  <c r="M24" i="267"/>
  <c r="G24" i="267"/>
  <c r="D81" i="267" s="1"/>
  <c r="F24" i="267"/>
  <c r="U19" i="267"/>
  <c r="J22" i="273" s="1"/>
  <c r="T19" i="267"/>
  <c r="N19" i="267"/>
  <c r="J22" i="272" s="1"/>
  <c r="M19" i="267"/>
  <c r="G19" i="267"/>
  <c r="J22" i="271" s="1"/>
  <c r="F19" i="267"/>
  <c r="U18" i="267"/>
  <c r="J21" i="273" s="1"/>
  <c r="T18" i="267"/>
  <c r="N18" i="267"/>
  <c r="J21" i="272" s="1"/>
  <c r="M18" i="267"/>
  <c r="G18" i="267"/>
  <c r="J21" i="271" s="1"/>
  <c r="F18" i="267"/>
  <c r="U17" i="267"/>
  <c r="J20" i="273" s="1"/>
  <c r="T17" i="267"/>
  <c r="N17" i="267"/>
  <c r="J20" i="272" s="1"/>
  <c r="M17" i="267"/>
  <c r="G17" i="267"/>
  <c r="J20" i="271" s="1"/>
  <c r="F17" i="267"/>
  <c r="U16" i="267"/>
  <c r="J19" i="273" s="1"/>
  <c r="T16" i="267"/>
  <c r="N16" i="267"/>
  <c r="J19" i="272" s="1"/>
  <c r="M16" i="267"/>
  <c r="G16" i="267"/>
  <c r="J19" i="271" s="1"/>
  <c r="F16" i="267"/>
  <c r="U15" i="267"/>
  <c r="J18" i="273" s="1"/>
  <c r="T15" i="267"/>
  <c r="N15" i="267"/>
  <c r="J18" i="272" s="1"/>
  <c r="M15" i="267"/>
  <c r="G15" i="267"/>
  <c r="J18" i="271" s="1"/>
  <c r="F15" i="267"/>
  <c r="U14" i="267"/>
  <c r="J17" i="273" s="1"/>
  <c r="T14" i="267"/>
  <c r="N14" i="267"/>
  <c r="J17" i="272" s="1"/>
  <c r="M14" i="267"/>
  <c r="G14" i="267"/>
  <c r="J17" i="271" s="1"/>
  <c r="F14" i="267"/>
  <c r="U13" i="267"/>
  <c r="J16" i="273" s="1"/>
  <c r="T13" i="267"/>
  <c r="N13" i="267"/>
  <c r="J16" i="272" s="1"/>
  <c r="M13" i="267"/>
  <c r="G13" i="267"/>
  <c r="J16" i="271" s="1"/>
  <c r="F13" i="267"/>
  <c r="U12" i="267"/>
  <c r="J15" i="273" s="1"/>
  <c r="T12" i="267"/>
  <c r="N12" i="267"/>
  <c r="J15" i="272" s="1"/>
  <c r="M12" i="267"/>
  <c r="G12" i="267"/>
  <c r="J15" i="271" s="1"/>
  <c r="F12" i="267"/>
  <c r="U11" i="267"/>
  <c r="J14" i="273" s="1"/>
  <c r="T11" i="267"/>
  <c r="N11" i="267"/>
  <c r="J14" i="272" s="1"/>
  <c r="M11" i="267"/>
  <c r="G11" i="267"/>
  <c r="J14" i="271" s="1"/>
  <c r="F11" i="267"/>
  <c r="U10" i="267"/>
  <c r="J13" i="273" s="1"/>
  <c r="L13" i="273" s="1"/>
  <c r="T10" i="267"/>
  <c r="N10" i="267"/>
  <c r="J13" i="272" s="1"/>
  <c r="M10" i="267"/>
  <c r="G10" i="267"/>
  <c r="J13" i="271" s="1"/>
  <c r="F10" i="267"/>
  <c r="U9" i="267"/>
  <c r="J12" i="273" s="1"/>
  <c r="T9" i="267"/>
  <c r="N9" i="267"/>
  <c r="J12" i="272" s="1"/>
  <c r="M9" i="267"/>
  <c r="G9" i="267"/>
  <c r="J12" i="271" s="1"/>
  <c r="F9" i="267"/>
  <c r="U8" i="267"/>
  <c r="J11" i="273" s="1"/>
  <c r="T8" i="267"/>
  <c r="N8" i="267"/>
  <c r="J11" i="272" s="1"/>
  <c r="M8" i="267"/>
  <c r="G8" i="267"/>
  <c r="J11" i="271" s="1"/>
  <c r="F8" i="267"/>
  <c r="U7" i="267"/>
  <c r="J10" i="273" s="1"/>
  <c r="T7" i="267"/>
  <c r="N7" i="267"/>
  <c r="J10" i="272" s="1"/>
  <c r="M7" i="267"/>
  <c r="G7" i="267"/>
  <c r="J10" i="271" s="1"/>
  <c r="F7" i="267"/>
  <c r="U6" i="267"/>
  <c r="J9" i="273" s="1"/>
  <c r="T6" i="267"/>
  <c r="N6" i="267"/>
  <c r="J9" i="272" s="1"/>
  <c r="M6" i="267"/>
  <c r="G6" i="267"/>
  <c r="J9" i="271" s="1"/>
  <c r="F6" i="267"/>
  <c r="U5" i="267"/>
  <c r="J8" i="273" s="1"/>
  <c r="T5" i="267"/>
  <c r="N5" i="267"/>
  <c r="J8" i="272" s="1"/>
  <c r="M5" i="267"/>
  <c r="G5" i="267"/>
  <c r="J8" i="271" s="1"/>
  <c r="F5" i="267"/>
  <c r="F20" i="271" l="1"/>
  <c r="F8" i="273"/>
  <c r="F8" i="271"/>
  <c r="F12" i="271"/>
  <c r="F16" i="271"/>
  <c r="F11" i="272"/>
  <c r="F15" i="272"/>
  <c r="F12" i="273"/>
  <c r="F14" i="273"/>
  <c r="AI16" i="274"/>
  <c r="S81" i="267"/>
  <c r="I8" i="273"/>
  <c r="I9" i="271"/>
  <c r="K9" i="271" s="1"/>
  <c r="E82" i="267"/>
  <c r="S82" i="267"/>
  <c r="I9" i="273"/>
  <c r="I10" i="272"/>
  <c r="L83" i="267"/>
  <c r="I10" i="273"/>
  <c r="S83" i="267"/>
  <c r="L84" i="267"/>
  <c r="I11" i="272"/>
  <c r="I11" i="273"/>
  <c r="S84" i="267"/>
  <c r="L85" i="267"/>
  <c r="I12" i="272"/>
  <c r="S85" i="267"/>
  <c r="I12" i="273"/>
  <c r="I13" i="271"/>
  <c r="E86" i="267"/>
  <c r="I13" i="272"/>
  <c r="L86" i="267"/>
  <c r="S86" i="267"/>
  <c r="I13" i="273"/>
  <c r="I14" i="272"/>
  <c r="L87" i="267"/>
  <c r="S87" i="267"/>
  <c r="I14" i="273"/>
  <c r="L88" i="267"/>
  <c r="I15" i="272"/>
  <c r="I15" i="273"/>
  <c r="S88" i="267"/>
  <c r="L89" i="267"/>
  <c r="I16" i="272"/>
  <c r="I16" i="273"/>
  <c r="S89" i="267"/>
  <c r="I17" i="271"/>
  <c r="E90" i="267"/>
  <c r="I17" i="272"/>
  <c r="L90" i="267"/>
  <c r="S90" i="267"/>
  <c r="I17" i="273"/>
  <c r="I18" i="272"/>
  <c r="L91" i="267"/>
  <c r="S91" i="267"/>
  <c r="I18" i="273"/>
  <c r="L92" i="267"/>
  <c r="I19" i="272"/>
  <c r="I19" i="273"/>
  <c r="S92" i="267"/>
  <c r="L93" i="267"/>
  <c r="I20" i="272"/>
  <c r="I20" i="273"/>
  <c r="S93" i="267"/>
  <c r="I21" i="272"/>
  <c r="L94" i="267"/>
  <c r="S94" i="267"/>
  <c r="I21" i="273"/>
  <c r="I22" i="272"/>
  <c r="L95" i="267"/>
  <c r="I22" i="273"/>
  <c r="S95" i="267"/>
  <c r="I8" i="271"/>
  <c r="F10" i="271"/>
  <c r="L10" i="271" s="1"/>
  <c r="I11" i="271"/>
  <c r="I12" i="271"/>
  <c r="F14" i="271"/>
  <c r="L14" i="271" s="1"/>
  <c r="I15" i="271"/>
  <c r="I16" i="271"/>
  <c r="F18" i="271"/>
  <c r="L18" i="271" s="1"/>
  <c r="I19" i="271"/>
  <c r="I20" i="271"/>
  <c r="F21" i="271"/>
  <c r="I8" i="272"/>
  <c r="I9" i="272"/>
  <c r="I10" i="271"/>
  <c r="L12" i="271"/>
  <c r="I14" i="271"/>
  <c r="I18" i="271"/>
  <c r="L20" i="271"/>
  <c r="I22" i="271"/>
  <c r="F8" i="272"/>
  <c r="F9" i="272"/>
  <c r="L9" i="272" s="1"/>
  <c r="F12" i="272"/>
  <c r="F16" i="272"/>
  <c r="F22" i="272"/>
  <c r="F9" i="273"/>
  <c r="L22" i="273"/>
  <c r="V20" i="274"/>
  <c r="AF14" i="274"/>
  <c r="X18" i="274"/>
  <c r="AG17" i="274"/>
  <c r="AC20" i="274"/>
  <c r="Z10" i="274"/>
  <c r="W8" i="274"/>
  <c r="AB10" i="274"/>
  <c r="Y8" i="274"/>
  <c r="AC18" i="274"/>
  <c r="AA18" i="274"/>
  <c r="AE18" i="274"/>
  <c r="AF10" i="274"/>
  <c r="Y14" i="274"/>
  <c r="W17" i="274"/>
  <c r="AF8" i="274"/>
  <c r="X20" i="274"/>
  <c r="AE20" i="274"/>
  <c r="L11" i="272"/>
  <c r="L15" i="272"/>
  <c r="L8" i="273"/>
  <c r="L14" i="273"/>
  <c r="F18" i="273"/>
  <c r="F20" i="273"/>
  <c r="X13" i="274"/>
  <c r="AD19" i="274"/>
  <c r="W10" i="274"/>
  <c r="Z17" i="274"/>
  <c r="AD17" i="274"/>
  <c r="AB20" i="274"/>
  <c r="AE17" i="274"/>
  <c r="V8" i="274"/>
  <c r="X8" i="274"/>
  <c r="AC10" i="274"/>
  <c r="W19" i="274"/>
  <c r="X19" i="274"/>
  <c r="AA8" i="274"/>
  <c r="AB8" i="274"/>
  <c r="X14" i="274"/>
  <c r="AG10" i="274"/>
  <c r="AA19" i="274"/>
  <c r="Y17" i="274"/>
  <c r="AB11" i="274"/>
  <c r="AE19" i="274"/>
  <c r="V10" i="281"/>
  <c r="Z7" i="281"/>
  <c r="Y8" i="281"/>
  <c r="AE10" i="281"/>
  <c r="AA16" i="281"/>
  <c r="AG10" i="281"/>
  <c r="AF16" i="281"/>
  <c r="AD15" i="281"/>
  <c r="V16" i="281"/>
  <c r="U11" i="281"/>
  <c r="AF8" i="281"/>
  <c r="X16" i="281"/>
  <c r="W8" i="281"/>
  <c r="AG7" i="281"/>
  <c r="Z17" i="281"/>
  <c r="V19" i="281"/>
  <c r="AA8" i="281"/>
  <c r="AC8" i="281"/>
  <c r="AD19" i="281"/>
  <c r="AE8" i="281"/>
  <c r="X10" i="281"/>
  <c r="Y19" i="281"/>
  <c r="W12" i="281"/>
  <c r="AB12" i="281"/>
  <c r="Y16" i="281"/>
  <c r="AB8" i="281"/>
  <c r="U15" i="281"/>
  <c r="V18" i="281"/>
  <c r="AC10" i="281"/>
  <c r="V13" i="281"/>
  <c r="AG20" i="281"/>
  <c r="AF10" i="281"/>
  <c r="AE16" i="281"/>
  <c r="Y10" i="281"/>
  <c r="Y14" i="281"/>
  <c r="Z20" i="281"/>
  <c r="U16" i="281"/>
  <c r="Z8" i="281"/>
  <c r="AC16" i="281"/>
  <c r="AG8" i="281"/>
  <c r="AA10" i="281"/>
  <c r="AG9" i="281"/>
  <c r="W16" i="281"/>
  <c r="AE17" i="281"/>
  <c r="AD10" i="281"/>
  <c r="AD8" i="281"/>
  <c r="U10" i="281"/>
  <c r="AB16" i="281"/>
  <c r="Y13" i="281"/>
  <c r="AG14" i="281"/>
  <c r="Y18" i="281"/>
  <c r="AB13" i="281"/>
  <c r="AD16" i="281"/>
  <c r="AE11" i="281"/>
  <c r="W10" i="281"/>
  <c r="V8" i="281"/>
  <c r="X8" i="281"/>
  <c r="Z16" i="281"/>
  <c r="Y15" i="281"/>
  <c r="Y12" i="281"/>
  <c r="U8" i="281"/>
  <c r="AB10" i="281"/>
  <c r="AD18" i="281"/>
  <c r="Z10" i="281"/>
  <c r="AD9" i="281"/>
  <c r="AA15" i="281"/>
  <c r="U13" i="281"/>
  <c r="V14" i="281"/>
  <c r="U17" i="281"/>
  <c r="W9" i="281"/>
  <c r="AG13" i="281"/>
  <c r="AA9" i="281"/>
  <c r="AD11" i="281"/>
  <c r="AB18" i="281"/>
  <c r="X13" i="281"/>
  <c r="AF15" i="281"/>
  <c r="AE18" i="281"/>
  <c r="AA11" i="281"/>
  <c r="AB15" i="281"/>
  <c r="AA14" i="281"/>
  <c r="AB14" i="281"/>
  <c r="AF14" i="281"/>
  <c r="V9" i="281"/>
  <c r="AC14" i="281"/>
  <c r="AE14" i="281"/>
  <c r="AG17" i="281"/>
  <c r="AB7" i="281"/>
  <c r="AC19" i="281"/>
  <c r="W15" i="281"/>
  <c r="AB9" i="281"/>
  <c r="AC20" i="281"/>
  <c r="AE7" i="281"/>
  <c r="X19" i="281"/>
  <c r="AA19" i="281"/>
  <c r="Y17" i="281"/>
  <c r="X7" i="281"/>
  <c r="Z15" i="281"/>
  <c r="AD17" i="281"/>
  <c r="AF9" i="281"/>
  <c r="AA18" i="281"/>
  <c r="AD12" i="281"/>
  <c r="Z11" i="281"/>
  <c r="X9" i="281"/>
  <c r="U12" i="281"/>
  <c r="W20" i="281"/>
  <c r="X18" i="281"/>
  <c r="AD20" i="281"/>
  <c r="W11" i="281"/>
  <c r="AE20" i="281"/>
  <c r="AK20" i="281" s="1"/>
  <c r="AD13" i="281"/>
  <c r="AB11" i="281"/>
  <c r="AE13" i="281"/>
  <c r="AA17" i="281"/>
  <c r="AF11" i="281"/>
  <c r="AB20" i="281"/>
  <c r="AC7" i="281"/>
  <c r="AG12" i="281"/>
  <c r="AD7" i="281"/>
  <c r="X14" i="281"/>
  <c r="V12" i="281"/>
  <c r="W17" i="281"/>
  <c r="U18" i="281"/>
  <c r="Z12" i="281"/>
  <c r="AE19" i="281"/>
  <c r="AD14" i="281"/>
  <c r="Y7" i="281"/>
  <c r="AE12" i="281"/>
  <c r="V11" i="281"/>
  <c r="AG18" i="281"/>
  <c r="AG11" i="281"/>
  <c r="AC15" i="281"/>
  <c r="U14" i="281"/>
  <c r="Z13" i="281"/>
  <c r="U9" i="281"/>
  <c r="V17" i="281"/>
  <c r="Z14" i="281"/>
  <c r="U20" i="281"/>
  <c r="X12" i="281"/>
  <c r="Y20" i="281"/>
  <c r="X15" i="281"/>
  <c r="AA7" i="281"/>
  <c r="AA13" i="281"/>
  <c r="AJ13" i="281" s="1"/>
  <c r="AF13" i="281"/>
  <c r="Z9" i="281"/>
  <c r="AC17" i="281"/>
  <c r="AE9" i="281"/>
  <c r="U19" i="281"/>
  <c r="AE15" i="281"/>
  <c r="AF7" i="281"/>
  <c r="AF18" i="281"/>
  <c r="U7" i="281"/>
  <c r="V15" i="281"/>
  <c r="AA12" i="281"/>
  <c r="AB17" i="281"/>
  <c r="W18" i="281"/>
  <c r="AC13" i="281"/>
  <c r="Z19" i="281"/>
  <c r="X17" i="281"/>
  <c r="AG19" i="281"/>
  <c r="AC12" i="281"/>
  <c r="AC18" i="281"/>
  <c r="W14" i="281"/>
  <c r="AC9" i="281"/>
  <c r="AB19" i="281"/>
  <c r="Y9" i="281"/>
  <c r="X20" i="281"/>
  <c r="Y11" i="281"/>
  <c r="AF19" i="281"/>
  <c r="AF17" i="281"/>
  <c r="AA20" i="281"/>
  <c r="W13" i="281"/>
  <c r="AF12" i="281"/>
  <c r="W19" i="281"/>
  <c r="X11" i="281"/>
  <c r="AG15" i="281"/>
  <c r="Z18" i="281"/>
  <c r="V20" i="281"/>
  <c r="AC11" i="281"/>
  <c r="W7" i="281"/>
  <c r="V7" i="281"/>
  <c r="AE11" i="274"/>
  <c r="Y13" i="274"/>
  <c r="V13" i="274"/>
  <c r="AF15" i="274"/>
  <c r="AD11" i="274"/>
  <c r="W7" i="274"/>
  <c r="AF13" i="274"/>
  <c r="AE12" i="274"/>
  <c r="AA11" i="274"/>
  <c r="AJ11" i="274" s="1"/>
  <c r="V15" i="274"/>
  <c r="X17" i="274"/>
  <c r="Z15" i="274"/>
  <c r="Y18" i="274"/>
  <c r="W11" i="274"/>
  <c r="AD18" i="274"/>
  <c r="Y19" i="274"/>
  <c r="AB14" i="274"/>
  <c r="AG8" i="274"/>
  <c r="AB7" i="274"/>
  <c r="AE15" i="274"/>
  <c r="AK15" i="274" s="1"/>
  <c r="AI17" i="274"/>
  <c r="AB9" i="274"/>
  <c r="AG11" i="274"/>
  <c r="V11" i="274"/>
  <c r="AG7" i="274"/>
  <c r="Z11" i="274"/>
  <c r="AG18" i="274"/>
  <c r="Y20" i="274"/>
  <c r="V10" i="274"/>
  <c r="Z12" i="274"/>
  <c r="Z9" i="274"/>
  <c r="AD8" i="274"/>
  <c r="AE14" i="274"/>
  <c r="AK14" i="274" s="1"/>
  <c r="AC14" i="274"/>
  <c r="AE9" i="274"/>
  <c r="AB15" i="274"/>
  <c r="AD15" i="274"/>
  <c r="AF7" i="274"/>
  <c r="AE10" i="274"/>
  <c r="AK10" i="274" s="1"/>
  <c r="W20" i="274"/>
  <c r="AI20" i="274" s="1"/>
  <c r="AB19" i="274"/>
  <c r="AJ19" i="274" s="1"/>
  <c r="AD14" i="274"/>
  <c r="AG9" i="274"/>
  <c r="AC9" i="274"/>
  <c r="AC15" i="274"/>
  <c r="AC7" i="274"/>
  <c r="AA7" i="274"/>
  <c r="AJ7" i="274" s="1"/>
  <c r="AF12" i="274"/>
  <c r="V12" i="274"/>
  <c r="Y15" i="274"/>
  <c r="AA17" i="274"/>
  <c r="Y10" i="274"/>
  <c r="Z8" i="274"/>
  <c r="Y11" i="274"/>
  <c r="V17" i="274"/>
  <c r="AA10" i="274"/>
  <c r="AJ10" i="274" s="1"/>
  <c r="AE8" i="274"/>
  <c r="AK8" i="274" s="1"/>
  <c r="X15" i="274"/>
  <c r="AD7" i="274"/>
  <c r="AF9" i="274"/>
  <c r="AA9" i="274"/>
  <c r="AD13" i="274"/>
  <c r="AI19" i="274"/>
  <c r="Z14" i="274"/>
  <c r="AC17" i="274"/>
  <c r="Z7" i="274"/>
  <c r="AC12" i="274"/>
  <c r="AF17" i="274"/>
  <c r="AK17" i="274" s="1"/>
  <c r="AB18" i="274"/>
  <c r="AJ18" i="274" s="1"/>
  <c r="AD10" i="274"/>
  <c r="AC13" i="274"/>
  <c r="AF18" i="274"/>
  <c r="AK18" i="274" s="1"/>
  <c r="X9" i="274"/>
  <c r="W12" i="274"/>
  <c r="AB17" i="274"/>
  <c r="AE13" i="274"/>
  <c r="AK13" i="274" s="1"/>
  <c r="AA13" i="274"/>
  <c r="V9" i="274"/>
  <c r="AA12" i="274"/>
  <c r="AJ8" i="274"/>
  <c r="AF11" i="274"/>
  <c r="W18" i="274"/>
  <c r="AI18" i="274" s="1"/>
  <c r="AD9" i="274"/>
  <c r="W13" i="274"/>
  <c r="AI13" i="274" s="1"/>
  <c r="Z18" i="274"/>
  <c r="V19" i="274"/>
  <c r="X11" i="274"/>
  <c r="W14" i="274"/>
  <c r="AI14" i="274" s="1"/>
  <c r="Z19" i="274"/>
  <c r="Y9" i="274"/>
  <c r="AA14" i="274"/>
  <c r="AJ14" i="274" s="1"/>
  <c r="V18" i="274"/>
  <c r="AG12" i="274"/>
  <c r="W15" i="274"/>
  <c r="AI15" i="274" s="1"/>
  <c r="Z13" i="274"/>
  <c r="V7" i="274"/>
  <c r="AG19" i="274"/>
  <c r="X10" i="274"/>
  <c r="AI10" i="274" s="1"/>
  <c r="AG14" i="274"/>
  <c r="AD20" i="274"/>
  <c r="AF20" i="274"/>
  <c r="AK20" i="274" s="1"/>
  <c r="AB13" i="274"/>
  <c r="AG15" i="274"/>
  <c r="AC8" i="274"/>
  <c r="AC11" i="274"/>
  <c r="AK16" i="274"/>
  <c r="AF19" i="274"/>
  <c r="AK19" i="274" s="1"/>
  <c r="Y7" i="274"/>
  <c r="X7" i="274"/>
  <c r="AD12" i="274"/>
  <c r="Y12" i="274"/>
  <c r="X12" i="274"/>
  <c r="AA20" i="274"/>
  <c r="AJ20" i="274" s="1"/>
  <c r="AB12" i="274"/>
  <c r="AA15" i="274"/>
  <c r="AG20" i="274"/>
  <c r="AE7" i="274"/>
  <c r="V14" i="274"/>
  <c r="AJ16" i="274"/>
  <c r="W9" i="274"/>
  <c r="AI9" i="274" s="1"/>
  <c r="AG13" i="274"/>
  <c r="AC19" i="274"/>
  <c r="Q85" i="267"/>
  <c r="F16" i="273"/>
  <c r="L16" i="273" s="1"/>
  <c r="K9" i="273"/>
  <c r="Q92" i="267"/>
  <c r="F10" i="273"/>
  <c r="L10" i="273" s="1"/>
  <c r="K13" i="273"/>
  <c r="L20" i="273"/>
  <c r="F11" i="273"/>
  <c r="K11" i="273" s="1"/>
  <c r="F15" i="273"/>
  <c r="K15" i="273" s="1"/>
  <c r="F19" i="273"/>
  <c r="L19" i="273" s="1"/>
  <c r="K20" i="273"/>
  <c r="K12" i="273"/>
  <c r="L9" i="273"/>
  <c r="L17" i="273"/>
  <c r="L12" i="273"/>
  <c r="K16" i="273"/>
  <c r="L18" i="273"/>
  <c r="K10" i="273"/>
  <c r="K14" i="273"/>
  <c r="K18" i="273"/>
  <c r="K22" i="273"/>
  <c r="Q89" i="267"/>
  <c r="K8" i="273"/>
  <c r="L16" i="272"/>
  <c r="F17" i="272"/>
  <c r="L17" i="272" s="1"/>
  <c r="J87" i="267"/>
  <c r="K11" i="272"/>
  <c r="F19" i="272"/>
  <c r="L19" i="272" s="1"/>
  <c r="K21" i="272"/>
  <c r="L21" i="272"/>
  <c r="L11" i="271"/>
  <c r="F22" i="271"/>
  <c r="L22" i="271" s="1"/>
  <c r="F13" i="271"/>
  <c r="L13" i="271" s="1"/>
  <c r="L19" i="271"/>
  <c r="L9" i="271"/>
  <c r="L15" i="271"/>
  <c r="K19" i="271"/>
  <c r="L16" i="271"/>
  <c r="K9" i="272"/>
  <c r="L12" i="272"/>
  <c r="K22" i="272"/>
  <c r="K13" i="272"/>
  <c r="F14" i="272"/>
  <c r="K14" i="272" s="1"/>
  <c r="K17" i="272"/>
  <c r="J84" i="267"/>
  <c r="L13" i="272"/>
  <c r="K15" i="272"/>
  <c r="F10" i="272"/>
  <c r="K10" i="272" s="1"/>
  <c r="F20" i="272"/>
  <c r="L20" i="272" s="1"/>
  <c r="K18" i="271"/>
  <c r="K20" i="271"/>
  <c r="K14" i="271"/>
  <c r="C91" i="267"/>
  <c r="K8" i="271"/>
  <c r="C82" i="267"/>
  <c r="K12" i="271"/>
  <c r="K22" i="271"/>
  <c r="K17" i="271"/>
  <c r="K16" i="271"/>
  <c r="K10" i="271"/>
  <c r="L8" i="271"/>
  <c r="C95" i="267"/>
  <c r="K8" i="272"/>
  <c r="L21" i="273"/>
  <c r="L11" i="273"/>
  <c r="L17" i="271"/>
  <c r="L22" i="272"/>
  <c r="K15" i="271"/>
  <c r="L10" i="272"/>
  <c r="K21" i="273"/>
  <c r="K17" i="273"/>
  <c r="K12" i="272"/>
  <c r="L8" i="272"/>
  <c r="K11" i="271"/>
  <c r="L21" i="271"/>
  <c r="K16" i="272"/>
  <c r="L18" i="272"/>
  <c r="K18" i="272"/>
  <c r="C83" i="267"/>
  <c r="J88" i="267"/>
  <c r="Q93" i="267"/>
  <c r="I21" i="271"/>
  <c r="K21" i="271" s="1"/>
  <c r="Q81" i="267"/>
  <c r="C87" i="267"/>
  <c r="J92" i="267"/>
  <c r="Q83" i="267"/>
  <c r="C89" i="267"/>
  <c r="J94" i="267"/>
  <c r="AJ17" i="274" l="1"/>
  <c r="AK9" i="274"/>
  <c r="AJ13" i="274"/>
  <c r="AI8" i="274"/>
  <c r="AJ8" i="281"/>
  <c r="AK17" i="281"/>
  <c r="AI8" i="281"/>
  <c r="AK8" i="281"/>
  <c r="AI12" i="281"/>
  <c r="AK9" i="281"/>
  <c r="AJ11" i="281"/>
  <c r="AI16" i="281"/>
  <c r="AJ12" i="281"/>
  <c r="AJ16" i="281"/>
  <c r="AK11" i="281"/>
  <c r="AJ18" i="281"/>
  <c r="AK16" i="281"/>
  <c r="AK10" i="281"/>
  <c r="AK12" i="281"/>
  <c r="AK19" i="281"/>
  <c r="AJ19" i="281"/>
  <c r="AI17" i="281"/>
  <c r="AI7" i="281"/>
  <c r="AK13" i="281"/>
  <c r="AJ10" i="281"/>
  <c r="AI11" i="281"/>
  <c r="AI10" i="281"/>
  <c r="AK7" i="281"/>
  <c r="AK18" i="281"/>
  <c r="AI20" i="281"/>
  <c r="AK15" i="281"/>
  <c r="AJ9" i="281"/>
  <c r="AK14" i="281"/>
  <c r="AI9" i="281"/>
  <c r="AI15" i="281"/>
  <c r="AI14" i="281"/>
  <c r="AI19" i="281"/>
  <c r="AJ17" i="281"/>
  <c r="AJ15" i="281"/>
  <c r="AI13" i="281"/>
  <c r="AJ20" i="281"/>
  <c r="AI18" i="281"/>
  <c r="AJ7" i="281"/>
  <c r="AJ14" i="281"/>
  <c r="AJ12" i="274"/>
  <c r="AK12" i="274"/>
  <c r="AI7" i="274"/>
  <c r="AJ9" i="274"/>
  <c r="AK7" i="274"/>
  <c r="AI12" i="274"/>
  <c r="AJ15" i="274"/>
  <c r="AI11" i="274"/>
  <c r="AK11" i="274"/>
  <c r="L15" i="273"/>
  <c r="K19" i="273"/>
  <c r="K19" i="272"/>
  <c r="L14" i="272"/>
  <c r="K20" i="272"/>
  <c r="K13" i="271"/>
  <c r="E22" i="265" l="1"/>
  <c r="D22" i="265"/>
  <c r="F22" i="265" s="1"/>
  <c r="C22" i="265"/>
  <c r="E21" i="265"/>
  <c r="D21" i="265"/>
  <c r="C21" i="265"/>
  <c r="E20" i="265"/>
  <c r="D20" i="265"/>
  <c r="C20" i="265"/>
  <c r="E19" i="265"/>
  <c r="D19" i="265"/>
  <c r="C19" i="265"/>
  <c r="F19" i="265" s="1"/>
  <c r="E18" i="265"/>
  <c r="D18" i="265"/>
  <c r="C18" i="265"/>
  <c r="E17" i="265"/>
  <c r="D17" i="265"/>
  <c r="C17" i="265"/>
  <c r="F17" i="265" s="1"/>
  <c r="E16" i="265"/>
  <c r="D16" i="265"/>
  <c r="C16" i="265"/>
  <c r="E15" i="265"/>
  <c r="D15" i="265"/>
  <c r="C15" i="265"/>
  <c r="E14" i="265"/>
  <c r="D14" i="265"/>
  <c r="C14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F10" i="265" s="1"/>
  <c r="E9" i="265"/>
  <c r="D9" i="265"/>
  <c r="C9" i="265"/>
  <c r="E8" i="265"/>
  <c r="D8" i="265"/>
  <c r="C8" i="265"/>
  <c r="E22" i="264"/>
  <c r="D22" i="264"/>
  <c r="F22" i="264" s="1"/>
  <c r="C22" i="264"/>
  <c r="E21" i="264"/>
  <c r="D21" i="264"/>
  <c r="C21" i="264"/>
  <c r="E20" i="264"/>
  <c r="D20" i="264"/>
  <c r="C20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4" i="264"/>
  <c r="D14" i="264"/>
  <c r="C14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F10" i="264" s="1"/>
  <c r="E9" i="264"/>
  <c r="D9" i="264"/>
  <c r="C9" i="264"/>
  <c r="E8" i="264"/>
  <c r="D8" i="264"/>
  <c r="C8" i="264"/>
  <c r="E22" i="263"/>
  <c r="D22" i="263"/>
  <c r="F22" i="263" s="1"/>
  <c r="C22" i="263"/>
  <c r="E21" i="263"/>
  <c r="D21" i="263"/>
  <c r="C21" i="263"/>
  <c r="F21" i="263" s="1"/>
  <c r="E20" i="263"/>
  <c r="D20" i="263"/>
  <c r="C20" i="263"/>
  <c r="E19" i="263"/>
  <c r="D19" i="263"/>
  <c r="C19" i="263"/>
  <c r="F19" i="263" s="1"/>
  <c r="E18" i="263"/>
  <c r="D18" i="263"/>
  <c r="C18" i="263"/>
  <c r="E17" i="263"/>
  <c r="D17" i="263"/>
  <c r="C17" i="263"/>
  <c r="E16" i="263"/>
  <c r="D16" i="263"/>
  <c r="C16" i="263"/>
  <c r="E15" i="263"/>
  <c r="D15" i="263"/>
  <c r="C15" i="263"/>
  <c r="E14" i="263"/>
  <c r="D14" i="263"/>
  <c r="C14" i="263"/>
  <c r="E13" i="263"/>
  <c r="D13" i="263"/>
  <c r="C13" i="263"/>
  <c r="E12" i="263"/>
  <c r="D12" i="263"/>
  <c r="C12" i="263"/>
  <c r="E11" i="263"/>
  <c r="D11" i="263"/>
  <c r="C11" i="263"/>
  <c r="E10" i="263"/>
  <c r="D10" i="263"/>
  <c r="F10" i="263" s="1"/>
  <c r="C10" i="263"/>
  <c r="E9" i="263"/>
  <c r="D9" i="263"/>
  <c r="C9" i="263"/>
  <c r="E8" i="263"/>
  <c r="D8" i="263"/>
  <c r="C8" i="263"/>
  <c r="U76" i="259"/>
  <c r="Q95" i="259" s="1"/>
  <c r="T76" i="259"/>
  <c r="N76" i="259"/>
  <c r="J95" i="259" s="1"/>
  <c r="M76" i="259"/>
  <c r="G76" i="259"/>
  <c r="C95" i="259" s="1"/>
  <c r="F76" i="259"/>
  <c r="U75" i="259"/>
  <c r="Q94" i="259" s="1"/>
  <c r="T75" i="259"/>
  <c r="N75" i="259"/>
  <c r="J94" i="259" s="1"/>
  <c r="M75" i="259"/>
  <c r="G75" i="259"/>
  <c r="C94" i="259" s="1"/>
  <c r="F75" i="259"/>
  <c r="U74" i="259"/>
  <c r="T74" i="259"/>
  <c r="N74" i="259"/>
  <c r="J93" i="259" s="1"/>
  <c r="M74" i="259"/>
  <c r="G74" i="259"/>
  <c r="F74" i="259"/>
  <c r="U73" i="259"/>
  <c r="Q92" i="259" s="1"/>
  <c r="T73" i="259"/>
  <c r="N73" i="259"/>
  <c r="M73" i="259"/>
  <c r="G73" i="259"/>
  <c r="C92" i="259" s="1"/>
  <c r="F73" i="259"/>
  <c r="U72" i="259"/>
  <c r="Q91" i="259" s="1"/>
  <c r="T72" i="259"/>
  <c r="N72" i="259"/>
  <c r="J91" i="259" s="1"/>
  <c r="M72" i="259"/>
  <c r="G72" i="259"/>
  <c r="F72" i="259"/>
  <c r="U71" i="259"/>
  <c r="Q90" i="259" s="1"/>
  <c r="T71" i="259"/>
  <c r="N71" i="259"/>
  <c r="J90" i="259" s="1"/>
  <c r="M71" i="259"/>
  <c r="G71" i="259"/>
  <c r="C90" i="259" s="1"/>
  <c r="F71" i="259"/>
  <c r="U70" i="259"/>
  <c r="Q89" i="259" s="1"/>
  <c r="T70" i="259"/>
  <c r="N70" i="259"/>
  <c r="J89" i="259" s="1"/>
  <c r="M70" i="259"/>
  <c r="G70" i="259"/>
  <c r="C89" i="259" s="1"/>
  <c r="F70" i="259"/>
  <c r="U69" i="259"/>
  <c r="Q88" i="259" s="1"/>
  <c r="T69" i="259"/>
  <c r="N69" i="259"/>
  <c r="M69" i="259"/>
  <c r="G69" i="259"/>
  <c r="C88" i="259" s="1"/>
  <c r="F69" i="259"/>
  <c r="U68" i="259"/>
  <c r="T68" i="259"/>
  <c r="N68" i="259"/>
  <c r="J87" i="259" s="1"/>
  <c r="M68" i="259"/>
  <c r="G68" i="259"/>
  <c r="F68" i="259"/>
  <c r="U67" i="259"/>
  <c r="T67" i="259"/>
  <c r="N67" i="259"/>
  <c r="J86" i="259" s="1"/>
  <c r="M67" i="259"/>
  <c r="G67" i="259"/>
  <c r="C86" i="259" s="1"/>
  <c r="F67" i="259"/>
  <c r="U66" i="259"/>
  <c r="T66" i="259"/>
  <c r="N66" i="259"/>
  <c r="J85" i="259" s="1"/>
  <c r="M66" i="259"/>
  <c r="G66" i="259"/>
  <c r="C85" i="259" s="1"/>
  <c r="F66" i="259"/>
  <c r="U65" i="259"/>
  <c r="Q84" i="259" s="1"/>
  <c r="T65" i="259"/>
  <c r="N65" i="259"/>
  <c r="J84" i="259" s="1"/>
  <c r="M65" i="259"/>
  <c r="G65" i="259"/>
  <c r="F65" i="259"/>
  <c r="U64" i="259"/>
  <c r="Q83" i="259" s="1"/>
  <c r="T64" i="259"/>
  <c r="N64" i="259"/>
  <c r="J83" i="259" s="1"/>
  <c r="M64" i="259"/>
  <c r="G64" i="259"/>
  <c r="F64" i="259"/>
  <c r="U63" i="259"/>
  <c r="Q82" i="259" s="1"/>
  <c r="T63" i="259"/>
  <c r="N63" i="259"/>
  <c r="M63" i="259"/>
  <c r="G63" i="259"/>
  <c r="C82" i="259" s="1"/>
  <c r="F63" i="259"/>
  <c r="U62" i="259"/>
  <c r="T62" i="259"/>
  <c r="N62" i="259"/>
  <c r="M62" i="259"/>
  <c r="G62" i="259"/>
  <c r="C81" i="259" s="1"/>
  <c r="F62" i="259"/>
  <c r="U57" i="259"/>
  <c r="R95" i="259" s="1"/>
  <c r="T57" i="259"/>
  <c r="N57" i="259"/>
  <c r="I22" i="264" s="1"/>
  <c r="M57" i="259"/>
  <c r="G57" i="259"/>
  <c r="I22" i="263" s="1"/>
  <c r="K22" i="263" s="1"/>
  <c r="F57" i="259"/>
  <c r="U56" i="259"/>
  <c r="I21" i="265" s="1"/>
  <c r="T56" i="259"/>
  <c r="N56" i="259"/>
  <c r="I21" i="264" s="1"/>
  <c r="M56" i="259"/>
  <c r="G56" i="259"/>
  <c r="I21" i="263" s="1"/>
  <c r="F56" i="259"/>
  <c r="U55" i="259"/>
  <c r="I20" i="265" s="1"/>
  <c r="T55" i="259"/>
  <c r="N55" i="259"/>
  <c r="I20" i="264" s="1"/>
  <c r="M55" i="259"/>
  <c r="G55" i="259"/>
  <c r="I20" i="263" s="1"/>
  <c r="F55" i="259"/>
  <c r="U54" i="259"/>
  <c r="I19" i="265" s="1"/>
  <c r="T54" i="259"/>
  <c r="N54" i="259"/>
  <c r="I19" i="264" s="1"/>
  <c r="M54" i="259"/>
  <c r="G54" i="259"/>
  <c r="I19" i="263" s="1"/>
  <c r="F54" i="259"/>
  <c r="U53" i="259"/>
  <c r="I18" i="265" s="1"/>
  <c r="T53" i="259"/>
  <c r="N53" i="259"/>
  <c r="I18" i="264" s="1"/>
  <c r="M53" i="259"/>
  <c r="G53" i="259"/>
  <c r="I18" i="263" s="1"/>
  <c r="F53" i="259"/>
  <c r="U52" i="259"/>
  <c r="T52" i="259"/>
  <c r="N52" i="259"/>
  <c r="K90" i="259" s="1"/>
  <c r="M52" i="259"/>
  <c r="G52" i="259"/>
  <c r="I17" i="263" s="1"/>
  <c r="F52" i="259"/>
  <c r="U51" i="259"/>
  <c r="R89" i="259" s="1"/>
  <c r="T51" i="259"/>
  <c r="N51" i="259"/>
  <c r="I16" i="264" s="1"/>
  <c r="M51" i="259"/>
  <c r="G51" i="259"/>
  <c r="I16" i="263" s="1"/>
  <c r="F51" i="259"/>
  <c r="U50" i="259"/>
  <c r="I15" i="265" s="1"/>
  <c r="T50" i="259"/>
  <c r="N50" i="259"/>
  <c r="I15" i="264" s="1"/>
  <c r="M50" i="259"/>
  <c r="G50" i="259"/>
  <c r="I15" i="263" s="1"/>
  <c r="F50" i="259"/>
  <c r="U49" i="259"/>
  <c r="I14" i="265" s="1"/>
  <c r="T49" i="259"/>
  <c r="N49" i="259"/>
  <c r="I14" i="264" s="1"/>
  <c r="M49" i="259"/>
  <c r="G49" i="259"/>
  <c r="I14" i="263" s="1"/>
  <c r="F49" i="259"/>
  <c r="U48" i="259"/>
  <c r="I13" i="265" s="1"/>
  <c r="T48" i="259"/>
  <c r="N48" i="259"/>
  <c r="I13" i="264" s="1"/>
  <c r="M48" i="259"/>
  <c r="G48" i="259"/>
  <c r="I13" i="263" s="1"/>
  <c r="F48" i="259"/>
  <c r="U47" i="259"/>
  <c r="I12" i="265" s="1"/>
  <c r="T47" i="259"/>
  <c r="N47" i="259"/>
  <c r="M47" i="259"/>
  <c r="G47" i="259"/>
  <c r="D85" i="259" s="1"/>
  <c r="F47" i="259"/>
  <c r="U46" i="259"/>
  <c r="I11" i="265" s="1"/>
  <c r="T46" i="259"/>
  <c r="N46" i="259"/>
  <c r="I11" i="264" s="1"/>
  <c r="M46" i="259"/>
  <c r="G46" i="259"/>
  <c r="I11" i="263" s="1"/>
  <c r="F46" i="259"/>
  <c r="U45" i="259"/>
  <c r="I10" i="265" s="1"/>
  <c r="T45" i="259"/>
  <c r="N45" i="259"/>
  <c r="I10" i="264" s="1"/>
  <c r="M45" i="259"/>
  <c r="G45" i="259"/>
  <c r="I10" i="263" s="1"/>
  <c r="F45" i="259"/>
  <c r="U44" i="259"/>
  <c r="I9" i="265" s="1"/>
  <c r="T44" i="259"/>
  <c r="N44" i="259"/>
  <c r="I9" i="264" s="1"/>
  <c r="M44" i="259"/>
  <c r="G44" i="259"/>
  <c r="I9" i="263" s="1"/>
  <c r="F44" i="259"/>
  <c r="U43" i="259"/>
  <c r="I8" i="265" s="1"/>
  <c r="T43" i="259"/>
  <c r="N43" i="259"/>
  <c r="I8" i="264" s="1"/>
  <c r="M43" i="259"/>
  <c r="G43" i="259"/>
  <c r="I8" i="263" s="1"/>
  <c r="F43" i="259"/>
  <c r="U38" i="259"/>
  <c r="S95" i="259" s="1"/>
  <c r="T38" i="259"/>
  <c r="N38" i="259"/>
  <c r="L95" i="259" s="1"/>
  <c r="M38" i="259"/>
  <c r="G38" i="259"/>
  <c r="E95" i="259" s="1"/>
  <c r="F38" i="259"/>
  <c r="U37" i="259"/>
  <c r="S94" i="259" s="1"/>
  <c r="T37" i="259"/>
  <c r="N37" i="259"/>
  <c r="L94" i="259" s="1"/>
  <c r="M37" i="259"/>
  <c r="G37" i="259"/>
  <c r="E94" i="259" s="1"/>
  <c r="F37" i="259"/>
  <c r="U36" i="259"/>
  <c r="S93" i="259" s="1"/>
  <c r="T36" i="259"/>
  <c r="N36" i="259"/>
  <c r="L93" i="259" s="1"/>
  <c r="M36" i="259"/>
  <c r="G36" i="259"/>
  <c r="E93" i="259" s="1"/>
  <c r="F36" i="259"/>
  <c r="U35" i="259"/>
  <c r="S92" i="259" s="1"/>
  <c r="T35" i="259"/>
  <c r="N35" i="259"/>
  <c r="L92" i="259" s="1"/>
  <c r="M35" i="259"/>
  <c r="G35" i="259"/>
  <c r="E92" i="259" s="1"/>
  <c r="F35" i="259"/>
  <c r="U34" i="259"/>
  <c r="S91" i="259" s="1"/>
  <c r="T34" i="259"/>
  <c r="N34" i="259"/>
  <c r="L91" i="259" s="1"/>
  <c r="M34" i="259"/>
  <c r="G34" i="259"/>
  <c r="E91" i="259" s="1"/>
  <c r="F34" i="259"/>
  <c r="U33" i="259"/>
  <c r="S90" i="259" s="1"/>
  <c r="T33" i="259"/>
  <c r="N33" i="259"/>
  <c r="L90" i="259" s="1"/>
  <c r="M33" i="259"/>
  <c r="G33" i="259"/>
  <c r="E90" i="259" s="1"/>
  <c r="F33" i="259"/>
  <c r="U32" i="259"/>
  <c r="S89" i="259" s="1"/>
  <c r="T32" i="259"/>
  <c r="N32" i="259"/>
  <c r="L89" i="259" s="1"/>
  <c r="M32" i="259"/>
  <c r="G32" i="259"/>
  <c r="E89" i="259" s="1"/>
  <c r="F32" i="259"/>
  <c r="U31" i="259"/>
  <c r="S88" i="259" s="1"/>
  <c r="T31" i="259"/>
  <c r="N31" i="259"/>
  <c r="L88" i="259" s="1"/>
  <c r="M31" i="259"/>
  <c r="G31" i="259"/>
  <c r="E88" i="259" s="1"/>
  <c r="F31" i="259"/>
  <c r="U30" i="259"/>
  <c r="S87" i="259" s="1"/>
  <c r="T30" i="259"/>
  <c r="N30" i="259"/>
  <c r="L87" i="259" s="1"/>
  <c r="M30" i="259"/>
  <c r="G30" i="259"/>
  <c r="E87" i="259" s="1"/>
  <c r="F30" i="259"/>
  <c r="U29" i="259"/>
  <c r="S86" i="259" s="1"/>
  <c r="T29" i="259"/>
  <c r="N29" i="259"/>
  <c r="L86" i="259" s="1"/>
  <c r="M29" i="259"/>
  <c r="G29" i="259"/>
  <c r="E86" i="259" s="1"/>
  <c r="F29" i="259"/>
  <c r="U28" i="259"/>
  <c r="S85" i="259" s="1"/>
  <c r="T28" i="259"/>
  <c r="N28" i="259"/>
  <c r="L85" i="259" s="1"/>
  <c r="M28" i="259"/>
  <c r="G28" i="259"/>
  <c r="E85" i="259" s="1"/>
  <c r="F28" i="259"/>
  <c r="U27" i="259"/>
  <c r="S84" i="259" s="1"/>
  <c r="T27" i="259"/>
  <c r="N27" i="259"/>
  <c r="L84" i="259" s="1"/>
  <c r="M27" i="259"/>
  <c r="G27" i="259"/>
  <c r="E84" i="259" s="1"/>
  <c r="F27" i="259"/>
  <c r="U26" i="259"/>
  <c r="S83" i="259" s="1"/>
  <c r="T26" i="259"/>
  <c r="N26" i="259"/>
  <c r="L83" i="259" s="1"/>
  <c r="M26" i="259"/>
  <c r="G26" i="259"/>
  <c r="E83" i="259" s="1"/>
  <c r="F26" i="259"/>
  <c r="U25" i="259"/>
  <c r="S82" i="259" s="1"/>
  <c r="T25" i="259"/>
  <c r="N25" i="259"/>
  <c r="L82" i="259" s="1"/>
  <c r="M25" i="259"/>
  <c r="G25" i="259"/>
  <c r="E82" i="259" s="1"/>
  <c r="F25" i="259"/>
  <c r="U24" i="259"/>
  <c r="S81" i="259" s="1"/>
  <c r="T24" i="259"/>
  <c r="N24" i="259"/>
  <c r="L81" i="259" s="1"/>
  <c r="M24" i="259"/>
  <c r="G24" i="259"/>
  <c r="E81" i="259" s="1"/>
  <c r="F24" i="259"/>
  <c r="U19" i="259"/>
  <c r="J22" i="265" s="1"/>
  <c r="T19" i="259"/>
  <c r="N19" i="259"/>
  <c r="J22" i="264" s="1"/>
  <c r="M19" i="259"/>
  <c r="G19" i="259"/>
  <c r="J22" i="263" s="1"/>
  <c r="L22" i="263" s="1"/>
  <c r="F19" i="259"/>
  <c r="U18" i="259"/>
  <c r="J21" i="265" s="1"/>
  <c r="T18" i="259"/>
  <c r="N18" i="259"/>
  <c r="J21" i="264" s="1"/>
  <c r="M18" i="259"/>
  <c r="G18" i="259"/>
  <c r="J21" i="263" s="1"/>
  <c r="F18" i="259"/>
  <c r="U17" i="259"/>
  <c r="J20" i="265" s="1"/>
  <c r="T17" i="259"/>
  <c r="N17" i="259"/>
  <c r="J20" i="264" s="1"/>
  <c r="M17" i="259"/>
  <c r="G17" i="259"/>
  <c r="J20" i="263" s="1"/>
  <c r="F17" i="259"/>
  <c r="U16" i="259"/>
  <c r="J19" i="265" s="1"/>
  <c r="T16" i="259"/>
  <c r="N16" i="259"/>
  <c r="J19" i="264" s="1"/>
  <c r="M16" i="259"/>
  <c r="G16" i="259"/>
  <c r="J19" i="263" s="1"/>
  <c r="F16" i="259"/>
  <c r="U15" i="259"/>
  <c r="J18" i="265" s="1"/>
  <c r="T15" i="259"/>
  <c r="N15" i="259"/>
  <c r="J18" i="264" s="1"/>
  <c r="M15" i="259"/>
  <c r="G15" i="259"/>
  <c r="J18" i="263" s="1"/>
  <c r="F15" i="259"/>
  <c r="U14" i="259"/>
  <c r="J17" i="265" s="1"/>
  <c r="T14" i="259"/>
  <c r="N14" i="259"/>
  <c r="J17" i="264" s="1"/>
  <c r="M14" i="259"/>
  <c r="G14" i="259"/>
  <c r="J17" i="263" s="1"/>
  <c r="F14" i="259"/>
  <c r="U13" i="259"/>
  <c r="J16" i="265" s="1"/>
  <c r="T13" i="259"/>
  <c r="N13" i="259"/>
  <c r="J16" i="264" s="1"/>
  <c r="M13" i="259"/>
  <c r="G13" i="259"/>
  <c r="J16" i="263" s="1"/>
  <c r="F13" i="259"/>
  <c r="U12" i="259"/>
  <c r="J15" i="265" s="1"/>
  <c r="T12" i="259"/>
  <c r="N12" i="259"/>
  <c r="J15" i="264" s="1"/>
  <c r="M12" i="259"/>
  <c r="G12" i="259"/>
  <c r="J15" i="263" s="1"/>
  <c r="F12" i="259"/>
  <c r="U11" i="259"/>
  <c r="J14" i="265" s="1"/>
  <c r="T11" i="259"/>
  <c r="N11" i="259"/>
  <c r="J14" i="264" s="1"/>
  <c r="M11" i="259"/>
  <c r="G11" i="259"/>
  <c r="J14" i="263" s="1"/>
  <c r="F11" i="259"/>
  <c r="U10" i="259"/>
  <c r="J13" i="265" s="1"/>
  <c r="T10" i="259"/>
  <c r="N10" i="259"/>
  <c r="J13" i="264" s="1"/>
  <c r="M10" i="259"/>
  <c r="G10" i="259"/>
  <c r="J13" i="263" s="1"/>
  <c r="F10" i="259"/>
  <c r="U9" i="259"/>
  <c r="J12" i="265" s="1"/>
  <c r="T9" i="259"/>
  <c r="N9" i="259"/>
  <c r="J12" i="264" s="1"/>
  <c r="M9" i="259"/>
  <c r="G9" i="259"/>
  <c r="J12" i="263" s="1"/>
  <c r="F9" i="259"/>
  <c r="U8" i="259"/>
  <c r="J11" i="265" s="1"/>
  <c r="T8" i="259"/>
  <c r="N8" i="259"/>
  <c r="J11" i="264" s="1"/>
  <c r="M8" i="259"/>
  <c r="G8" i="259"/>
  <c r="J11" i="263" s="1"/>
  <c r="F8" i="259"/>
  <c r="U7" i="259"/>
  <c r="J10" i="265" s="1"/>
  <c r="T7" i="259"/>
  <c r="N7" i="259"/>
  <c r="J10" i="264" s="1"/>
  <c r="M7" i="259"/>
  <c r="G7" i="259"/>
  <c r="J10" i="263" s="1"/>
  <c r="F7" i="259"/>
  <c r="U6" i="259"/>
  <c r="J9" i="265" s="1"/>
  <c r="T6" i="259"/>
  <c r="N6" i="259"/>
  <c r="J9" i="264" s="1"/>
  <c r="M6" i="259"/>
  <c r="G6" i="259"/>
  <c r="J9" i="263" s="1"/>
  <c r="F6" i="259"/>
  <c r="U5" i="259"/>
  <c r="J8" i="265" s="1"/>
  <c r="T5" i="259"/>
  <c r="N5" i="259"/>
  <c r="J8" i="264" s="1"/>
  <c r="M5" i="259"/>
  <c r="G5" i="259"/>
  <c r="J8" i="263" s="1"/>
  <c r="F5" i="259"/>
  <c r="F14" i="264" l="1"/>
  <c r="F11" i="265"/>
  <c r="F19" i="264"/>
  <c r="L19" i="264" s="1"/>
  <c r="F12" i="263"/>
  <c r="F13" i="263"/>
  <c r="F17" i="263"/>
  <c r="F15" i="265"/>
  <c r="F20" i="265"/>
  <c r="L22" i="264"/>
  <c r="D82" i="259"/>
  <c r="F8" i="263"/>
  <c r="F11" i="263"/>
  <c r="I12" i="263"/>
  <c r="F14" i="263"/>
  <c r="F15" i="263"/>
  <c r="F18" i="263"/>
  <c r="F11" i="264"/>
  <c r="F12" i="264"/>
  <c r="F16" i="264"/>
  <c r="F18" i="264"/>
  <c r="F18" i="265"/>
  <c r="F21" i="265"/>
  <c r="I22" i="265"/>
  <c r="K22" i="264"/>
  <c r="K81" i="259"/>
  <c r="R81" i="259"/>
  <c r="K82" i="259"/>
  <c r="D83" i="259"/>
  <c r="D84" i="259"/>
  <c r="R85" i="259"/>
  <c r="R86" i="259"/>
  <c r="D87" i="259"/>
  <c r="R87" i="259"/>
  <c r="K88" i="259"/>
  <c r="D91" i="259"/>
  <c r="K92" i="259"/>
  <c r="D93" i="259"/>
  <c r="R93" i="259"/>
  <c r="D92" i="259"/>
  <c r="R94" i="259"/>
  <c r="L17" i="263"/>
  <c r="L14" i="264"/>
  <c r="I17" i="264"/>
  <c r="L11" i="265"/>
  <c r="I16" i="265"/>
  <c r="L19" i="265"/>
  <c r="F13" i="265"/>
  <c r="R88" i="259"/>
  <c r="L22" i="265"/>
  <c r="R83" i="259"/>
  <c r="R91" i="259"/>
  <c r="F8" i="265"/>
  <c r="F16" i="265"/>
  <c r="F13" i="264"/>
  <c r="J82" i="259"/>
  <c r="Q87" i="259"/>
  <c r="Q81" i="259"/>
  <c r="F9" i="265"/>
  <c r="K9" i="265" s="1"/>
  <c r="F14" i="265"/>
  <c r="L14" i="265" s="1"/>
  <c r="L15" i="265"/>
  <c r="K11" i="265"/>
  <c r="K15" i="265"/>
  <c r="Q86" i="259"/>
  <c r="K19" i="265"/>
  <c r="F12" i="265"/>
  <c r="L12" i="265" s="1"/>
  <c r="K10" i="265"/>
  <c r="Q93" i="259"/>
  <c r="L10" i="265"/>
  <c r="K16" i="265"/>
  <c r="K13" i="265"/>
  <c r="L16" i="265"/>
  <c r="K22" i="265"/>
  <c r="L17" i="265"/>
  <c r="R90" i="259"/>
  <c r="K20" i="265"/>
  <c r="L8" i="265"/>
  <c r="K18" i="265"/>
  <c r="L20" i="265"/>
  <c r="K12" i="265"/>
  <c r="L18" i="265"/>
  <c r="K8" i="265"/>
  <c r="Q85" i="259"/>
  <c r="K21" i="265"/>
  <c r="L13" i="265"/>
  <c r="L21" i="265"/>
  <c r="R92" i="259"/>
  <c r="K83" i="259"/>
  <c r="F9" i="264"/>
  <c r="J88" i="259"/>
  <c r="K19" i="264"/>
  <c r="K10" i="264"/>
  <c r="F17" i="264"/>
  <c r="K17" i="264" s="1"/>
  <c r="L16" i="264"/>
  <c r="F21" i="264"/>
  <c r="K21" i="264" s="1"/>
  <c r="K94" i="259"/>
  <c r="F20" i="264"/>
  <c r="K20" i="264" s="1"/>
  <c r="K86" i="259"/>
  <c r="F8" i="264"/>
  <c r="L8" i="264" s="1"/>
  <c r="F15" i="264"/>
  <c r="K15" i="264" s="1"/>
  <c r="K11" i="264"/>
  <c r="L13" i="264"/>
  <c r="K16" i="264"/>
  <c r="L10" i="264"/>
  <c r="L18" i="264"/>
  <c r="K85" i="259"/>
  <c r="J92" i="259"/>
  <c r="L11" i="264"/>
  <c r="K89" i="259"/>
  <c r="J81" i="259"/>
  <c r="K9" i="264"/>
  <c r="K84" i="259"/>
  <c r="L9" i="264"/>
  <c r="K18" i="264"/>
  <c r="L12" i="264"/>
  <c r="K14" i="264"/>
  <c r="K87" i="259"/>
  <c r="K13" i="264"/>
  <c r="F20" i="263"/>
  <c r="K20" i="263" s="1"/>
  <c r="K10" i="263"/>
  <c r="D95" i="259"/>
  <c r="L10" i="263"/>
  <c r="C93" i="259"/>
  <c r="F9" i="263"/>
  <c r="L9" i="263" s="1"/>
  <c r="K17" i="263"/>
  <c r="F16" i="263"/>
  <c r="L16" i="263"/>
  <c r="K19" i="263"/>
  <c r="L20" i="263"/>
  <c r="C87" i="259"/>
  <c r="L15" i="263"/>
  <c r="L8" i="263"/>
  <c r="L13" i="263"/>
  <c r="C91" i="259"/>
  <c r="K12" i="263"/>
  <c r="K18" i="263"/>
  <c r="K11" i="263"/>
  <c r="K21" i="263"/>
  <c r="C84" i="259"/>
  <c r="L12" i="263"/>
  <c r="L18" i="263"/>
  <c r="K9" i="263"/>
  <c r="L21" i="263"/>
  <c r="K15" i="263"/>
  <c r="D94" i="259"/>
  <c r="K13" i="263"/>
  <c r="D81" i="259"/>
  <c r="D89" i="259"/>
  <c r="K8" i="263"/>
  <c r="K14" i="263"/>
  <c r="L14" i="263"/>
  <c r="L11" i="263"/>
  <c r="C83" i="259"/>
  <c r="L19" i="263"/>
  <c r="K16" i="263"/>
  <c r="D86" i="259"/>
  <c r="R82" i="259"/>
  <c r="D88" i="259"/>
  <c r="K93" i="259"/>
  <c r="K91" i="259"/>
  <c r="R84" i="259"/>
  <c r="D90" i="259"/>
  <c r="K95" i="259"/>
  <c r="I12" i="264"/>
  <c r="K12" i="264" s="1"/>
  <c r="I17" i="265"/>
  <c r="K17" i="265" s="1"/>
  <c r="L9" i="265" l="1"/>
  <c r="K14" i="265"/>
  <c r="L21" i="264"/>
  <c r="L15" i="264"/>
  <c r="K8" i="264"/>
  <c r="L20" i="264"/>
  <c r="L17" i="264"/>
  <c r="M62" i="252" l="1"/>
  <c r="N62" i="252"/>
  <c r="T62" i="252"/>
  <c r="U62" i="252"/>
  <c r="E22" i="258" l="1"/>
  <c r="D22" i="258"/>
  <c r="C22" i="258"/>
  <c r="F22" i="258" s="1"/>
  <c r="E21" i="258"/>
  <c r="D21" i="258"/>
  <c r="C21" i="258"/>
  <c r="E20" i="258"/>
  <c r="D20" i="258"/>
  <c r="C20" i="258"/>
  <c r="E19" i="258"/>
  <c r="D19" i="258"/>
  <c r="C19" i="258"/>
  <c r="E18" i="258"/>
  <c r="D18" i="258"/>
  <c r="C18" i="258"/>
  <c r="F18" i="258" s="1"/>
  <c r="E17" i="258"/>
  <c r="D17" i="258"/>
  <c r="F17" i="258" s="1"/>
  <c r="C17" i="258"/>
  <c r="E16" i="258"/>
  <c r="D16" i="258"/>
  <c r="C16" i="258"/>
  <c r="D15" i="258"/>
  <c r="C15" i="258"/>
  <c r="D14" i="258"/>
  <c r="F14" i="258" s="1"/>
  <c r="C14" i="258"/>
  <c r="E13" i="258"/>
  <c r="D13" i="258"/>
  <c r="C13" i="258"/>
  <c r="E12" i="258"/>
  <c r="D12" i="258"/>
  <c r="C12" i="258"/>
  <c r="E11" i="258"/>
  <c r="D11" i="258"/>
  <c r="C11" i="258"/>
  <c r="E10" i="258"/>
  <c r="D10" i="258"/>
  <c r="C10" i="258"/>
  <c r="E9" i="258"/>
  <c r="D9" i="258"/>
  <c r="C9" i="258"/>
  <c r="E8" i="258"/>
  <c r="D8" i="258"/>
  <c r="F8" i="258" s="1"/>
  <c r="C8" i="258"/>
  <c r="E22" i="257"/>
  <c r="D22" i="257"/>
  <c r="C22" i="257"/>
  <c r="E21" i="257"/>
  <c r="D21" i="257"/>
  <c r="C21" i="257"/>
  <c r="E20" i="257"/>
  <c r="D20" i="257"/>
  <c r="C20" i="257"/>
  <c r="E19" i="257"/>
  <c r="D19" i="257"/>
  <c r="C19" i="257"/>
  <c r="F19" i="257" s="1"/>
  <c r="E18" i="257"/>
  <c r="D18" i="257"/>
  <c r="C18" i="257"/>
  <c r="E17" i="257"/>
  <c r="D17" i="257"/>
  <c r="C17" i="257"/>
  <c r="E16" i="257"/>
  <c r="D16" i="257"/>
  <c r="C16" i="257"/>
  <c r="E15" i="257"/>
  <c r="D15" i="257"/>
  <c r="C15" i="257"/>
  <c r="E14" i="257"/>
  <c r="D14" i="257"/>
  <c r="F14" i="257" s="1"/>
  <c r="C14" i="257"/>
  <c r="E13" i="257"/>
  <c r="D13" i="257"/>
  <c r="C13" i="257"/>
  <c r="F13" i="257" s="1"/>
  <c r="E12" i="257"/>
  <c r="D12" i="257"/>
  <c r="C12" i="257"/>
  <c r="E11" i="257"/>
  <c r="D11" i="257"/>
  <c r="C11" i="257"/>
  <c r="E10" i="257"/>
  <c r="D10" i="257"/>
  <c r="C10" i="257"/>
  <c r="E9" i="257"/>
  <c r="D9" i="257"/>
  <c r="C9" i="257"/>
  <c r="E8" i="257"/>
  <c r="D8" i="257"/>
  <c r="F8" i="257" s="1"/>
  <c r="E22" i="256"/>
  <c r="D22" i="256"/>
  <c r="C22" i="256"/>
  <c r="E21" i="256"/>
  <c r="D21" i="256"/>
  <c r="C21" i="256"/>
  <c r="F21" i="256" s="1"/>
  <c r="E20" i="256"/>
  <c r="D20" i="256"/>
  <c r="C20" i="256"/>
  <c r="D19" i="256"/>
  <c r="C19" i="256"/>
  <c r="E18" i="256"/>
  <c r="D18" i="256"/>
  <c r="C18" i="256"/>
  <c r="F18" i="256" s="1"/>
  <c r="D17" i="256"/>
  <c r="C17" i="256"/>
  <c r="F17" i="256" s="1"/>
  <c r="E16" i="256"/>
  <c r="D16" i="256"/>
  <c r="C16" i="256"/>
  <c r="E15" i="256"/>
  <c r="D15" i="256"/>
  <c r="C15" i="256"/>
  <c r="F15" i="256" s="1"/>
  <c r="E14" i="256"/>
  <c r="D14" i="256"/>
  <c r="F14" i="256" s="1"/>
  <c r="C14" i="256"/>
  <c r="D13" i="256"/>
  <c r="C13" i="256"/>
  <c r="F13" i="256" s="1"/>
  <c r="E12" i="256"/>
  <c r="D12" i="256"/>
  <c r="C12" i="256"/>
  <c r="E11" i="256"/>
  <c r="D11" i="256"/>
  <c r="C11" i="256"/>
  <c r="E10" i="256"/>
  <c r="D10" i="256"/>
  <c r="C10" i="256"/>
  <c r="E9" i="256"/>
  <c r="D9" i="256"/>
  <c r="C9" i="256"/>
  <c r="F9" i="256" s="1"/>
  <c r="E8" i="256"/>
  <c r="D8" i="256"/>
  <c r="C8" i="256"/>
  <c r="Q81" i="252"/>
  <c r="U76" i="252"/>
  <c r="Q95" i="252" s="1"/>
  <c r="T76" i="252"/>
  <c r="N76" i="252"/>
  <c r="J95" i="252" s="1"/>
  <c r="M76" i="252"/>
  <c r="G76" i="252"/>
  <c r="C95" i="252" s="1"/>
  <c r="F76" i="252"/>
  <c r="U75" i="252"/>
  <c r="T75" i="252"/>
  <c r="N75" i="252"/>
  <c r="J94" i="252" s="1"/>
  <c r="M75" i="252"/>
  <c r="G75" i="252"/>
  <c r="C94" i="252" s="1"/>
  <c r="F75" i="252"/>
  <c r="U74" i="252"/>
  <c r="Q93" i="252" s="1"/>
  <c r="T74" i="252"/>
  <c r="N74" i="252"/>
  <c r="J93" i="252" s="1"/>
  <c r="M74" i="252"/>
  <c r="G74" i="252"/>
  <c r="F74" i="252"/>
  <c r="U73" i="252"/>
  <c r="Q92" i="252" s="1"/>
  <c r="T73" i="252"/>
  <c r="N73" i="252"/>
  <c r="M73" i="252"/>
  <c r="G73" i="252"/>
  <c r="C92" i="252" s="1"/>
  <c r="F73" i="252"/>
  <c r="U72" i="252"/>
  <c r="Q91" i="252" s="1"/>
  <c r="T72" i="252"/>
  <c r="N72" i="252"/>
  <c r="J91" i="252" s="1"/>
  <c r="M72" i="252"/>
  <c r="G72" i="252"/>
  <c r="F72" i="252"/>
  <c r="U71" i="252"/>
  <c r="Q90" i="252" s="1"/>
  <c r="T71" i="252"/>
  <c r="N71" i="252"/>
  <c r="J90" i="252" s="1"/>
  <c r="M71" i="252"/>
  <c r="G71" i="252"/>
  <c r="C90" i="252" s="1"/>
  <c r="F71" i="252"/>
  <c r="U70" i="252"/>
  <c r="Q89" i="252" s="1"/>
  <c r="T70" i="252"/>
  <c r="N70" i="252"/>
  <c r="M70" i="252"/>
  <c r="G70" i="252"/>
  <c r="C89" i="252" s="1"/>
  <c r="F70" i="252"/>
  <c r="U69" i="252"/>
  <c r="Q88" i="252" s="1"/>
  <c r="T69" i="252"/>
  <c r="N69" i="252"/>
  <c r="J88" i="252" s="1"/>
  <c r="M69" i="252"/>
  <c r="G69" i="252"/>
  <c r="C88" i="252" s="1"/>
  <c r="F69" i="252"/>
  <c r="U68" i="252"/>
  <c r="T68" i="252"/>
  <c r="N68" i="252"/>
  <c r="J87" i="252" s="1"/>
  <c r="M68" i="252"/>
  <c r="G68" i="252"/>
  <c r="F68" i="252"/>
  <c r="U67" i="252"/>
  <c r="Q86" i="252" s="1"/>
  <c r="T67" i="252"/>
  <c r="N67" i="252"/>
  <c r="J86" i="252" s="1"/>
  <c r="M67" i="252"/>
  <c r="G67" i="252"/>
  <c r="C86" i="252" s="1"/>
  <c r="F67" i="252"/>
  <c r="U66" i="252"/>
  <c r="T66" i="252"/>
  <c r="N66" i="252"/>
  <c r="J85" i="252" s="1"/>
  <c r="M66" i="252"/>
  <c r="G66" i="252"/>
  <c r="C85" i="252" s="1"/>
  <c r="F66" i="252"/>
  <c r="U65" i="252"/>
  <c r="Q84" i="252" s="1"/>
  <c r="T65" i="252"/>
  <c r="N65" i="252"/>
  <c r="J84" i="252" s="1"/>
  <c r="M65" i="252"/>
  <c r="G65" i="252"/>
  <c r="F65" i="252"/>
  <c r="U64" i="252"/>
  <c r="Q83" i="252" s="1"/>
  <c r="T64" i="252"/>
  <c r="N64" i="252"/>
  <c r="J83" i="252" s="1"/>
  <c r="M64" i="252"/>
  <c r="G64" i="252"/>
  <c r="C83" i="252" s="1"/>
  <c r="F64" i="252"/>
  <c r="U63" i="252"/>
  <c r="Q82" i="252" s="1"/>
  <c r="T63" i="252"/>
  <c r="N63" i="252"/>
  <c r="M63" i="252"/>
  <c r="G63" i="252"/>
  <c r="C82" i="252" s="1"/>
  <c r="F63" i="252"/>
  <c r="J81" i="252"/>
  <c r="G62" i="252"/>
  <c r="C81" i="252" s="1"/>
  <c r="F62" i="252"/>
  <c r="U57" i="252"/>
  <c r="R95" i="252" s="1"/>
  <c r="T57" i="252"/>
  <c r="N57" i="252"/>
  <c r="I22" i="257" s="1"/>
  <c r="M57" i="252"/>
  <c r="G57" i="252"/>
  <c r="I22" i="256" s="1"/>
  <c r="F57" i="252"/>
  <c r="U56" i="252"/>
  <c r="I21" i="258" s="1"/>
  <c r="T56" i="252"/>
  <c r="N56" i="252"/>
  <c r="I21" i="257" s="1"/>
  <c r="M56" i="252"/>
  <c r="G56" i="252"/>
  <c r="I21" i="256" s="1"/>
  <c r="F56" i="252"/>
  <c r="U55" i="252"/>
  <c r="I20" i="258" s="1"/>
  <c r="T55" i="252"/>
  <c r="N55" i="252"/>
  <c r="I20" i="257" s="1"/>
  <c r="M55" i="252"/>
  <c r="G55" i="252"/>
  <c r="I20" i="256" s="1"/>
  <c r="F55" i="252"/>
  <c r="U54" i="252"/>
  <c r="I19" i="258" s="1"/>
  <c r="T54" i="252"/>
  <c r="N54" i="252"/>
  <c r="I19" i="257" s="1"/>
  <c r="M54" i="252"/>
  <c r="G54" i="252"/>
  <c r="I19" i="256" s="1"/>
  <c r="F54" i="252"/>
  <c r="U53" i="252"/>
  <c r="I18" i="258" s="1"/>
  <c r="T53" i="252"/>
  <c r="N53" i="252"/>
  <c r="I18" i="257" s="1"/>
  <c r="M53" i="252"/>
  <c r="G53" i="252"/>
  <c r="I18" i="256" s="1"/>
  <c r="F53" i="252"/>
  <c r="U52" i="252"/>
  <c r="T52" i="252"/>
  <c r="N52" i="252"/>
  <c r="I17" i="257" s="1"/>
  <c r="M52" i="252"/>
  <c r="G52" i="252"/>
  <c r="I17" i="256" s="1"/>
  <c r="F52" i="252"/>
  <c r="U51" i="252"/>
  <c r="R89" i="252" s="1"/>
  <c r="T51" i="252"/>
  <c r="N51" i="252"/>
  <c r="I16" i="257" s="1"/>
  <c r="M51" i="252"/>
  <c r="G51" i="252"/>
  <c r="I16" i="256" s="1"/>
  <c r="F51" i="252"/>
  <c r="U50" i="252"/>
  <c r="I15" i="258" s="1"/>
  <c r="T50" i="252"/>
  <c r="N50" i="252"/>
  <c r="I15" i="257" s="1"/>
  <c r="M50" i="252"/>
  <c r="G50" i="252"/>
  <c r="I15" i="256" s="1"/>
  <c r="F50" i="252"/>
  <c r="U49" i="252"/>
  <c r="I14" i="258" s="1"/>
  <c r="T49" i="252"/>
  <c r="N49" i="252"/>
  <c r="I14" i="257" s="1"/>
  <c r="M49" i="252"/>
  <c r="G49" i="252"/>
  <c r="I14" i="256" s="1"/>
  <c r="F49" i="252"/>
  <c r="U48" i="252"/>
  <c r="I13" i="258" s="1"/>
  <c r="T48" i="252"/>
  <c r="N48" i="252"/>
  <c r="I13" i="257" s="1"/>
  <c r="M48" i="252"/>
  <c r="G48" i="252"/>
  <c r="I13" i="256" s="1"/>
  <c r="F48" i="252"/>
  <c r="U47" i="252"/>
  <c r="I12" i="258" s="1"/>
  <c r="T47" i="252"/>
  <c r="N47" i="252"/>
  <c r="M47" i="252"/>
  <c r="G47" i="252"/>
  <c r="I12" i="256" s="1"/>
  <c r="F47" i="252"/>
  <c r="U46" i="252"/>
  <c r="I11" i="258" s="1"/>
  <c r="T46" i="252"/>
  <c r="N46" i="252"/>
  <c r="I11" i="257" s="1"/>
  <c r="M46" i="252"/>
  <c r="G46" i="252"/>
  <c r="I11" i="256" s="1"/>
  <c r="F46" i="252"/>
  <c r="U45" i="252"/>
  <c r="I10" i="258" s="1"/>
  <c r="T45" i="252"/>
  <c r="N45" i="252"/>
  <c r="I10" i="257" s="1"/>
  <c r="M45" i="252"/>
  <c r="G45" i="252"/>
  <c r="D83" i="252" s="1"/>
  <c r="F45" i="252"/>
  <c r="U44" i="252"/>
  <c r="I9" i="258" s="1"/>
  <c r="T44" i="252"/>
  <c r="N44" i="252"/>
  <c r="I9" i="257" s="1"/>
  <c r="M44" i="252"/>
  <c r="G44" i="252"/>
  <c r="I9" i="256" s="1"/>
  <c r="F44" i="252"/>
  <c r="U43" i="252"/>
  <c r="I8" i="258" s="1"/>
  <c r="T43" i="252"/>
  <c r="N43" i="252"/>
  <c r="I8" i="257" s="1"/>
  <c r="M43" i="252"/>
  <c r="G43" i="252"/>
  <c r="I8" i="256" s="1"/>
  <c r="F43" i="252"/>
  <c r="U38" i="252"/>
  <c r="S95" i="252" s="1"/>
  <c r="T38" i="252"/>
  <c r="N38" i="252"/>
  <c r="L95" i="252" s="1"/>
  <c r="M38" i="252"/>
  <c r="G38" i="252"/>
  <c r="E95" i="252" s="1"/>
  <c r="F38" i="252"/>
  <c r="U37" i="252"/>
  <c r="S94" i="252" s="1"/>
  <c r="T37" i="252"/>
  <c r="N37" i="252"/>
  <c r="L94" i="252" s="1"/>
  <c r="M37" i="252"/>
  <c r="G37" i="252"/>
  <c r="E94" i="252" s="1"/>
  <c r="F37" i="252"/>
  <c r="U36" i="252"/>
  <c r="S93" i="252" s="1"/>
  <c r="T36" i="252"/>
  <c r="N36" i="252"/>
  <c r="L93" i="252" s="1"/>
  <c r="M36" i="252"/>
  <c r="G36" i="252"/>
  <c r="E93" i="252" s="1"/>
  <c r="F36" i="252"/>
  <c r="U35" i="252"/>
  <c r="S92" i="252" s="1"/>
  <c r="T35" i="252"/>
  <c r="N35" i="252"/>
  <c r="L92" i="252" s="1"/>
  <c r="M35" i="252"/>
  <c r="G35" i="252"/>
  <c r="E92" i="252" s="1"/>
  <c r="F35" i="252"/>
  <c r="U34" i="252"/>
  <c r="S91" i="252" s="1"/>
  <c r="T34" i="252"/>
  <c r="N34" i="252"/>
  <c r="L91" i="252" s="1"/>
  <c r="M34" i="252"/>
  <c r="G34" i="252"/>
  <c r="E91" i="252" s="1"/>
  <c r="F34" i="252"/>
  <c r="U33" i="252"/>
  <c r="S90" i="252" s="1"/>
  <c r="T33" i="252"/>
  <c r="N33" i="252"/>
  <c r="L90" i="252" s="1"/>
  <c r="M33" i="252"/>
  <c r="G33" i="252"/>
  <c r="E90" i="252" s="1"/>
  <c r="F33" i="252"/>
  <c r="U32" i="252"/>
  <c r="S89" i="252" s="1"/>
  <c r="T32" i="252"/>
  <c r="N32" i="252"/>
  <c r="L89" i="252" s="1"/>
  <c r="M32" i="252"/>
  <c r="G32" i="252"/>
  <c r="E89" i="252" s="1"/>
  <c r="F32" i="252"/>
  <c r="U31" i="252"/>
  <c r="S88" i="252" s="1"/>
  <c r="T31" i="252"/>
  <c r="N31" i="252"/>
  <c r="L88" i="252" s="1"/>
  <c r="M31" i="252"/>
  <c r="G31" i="252"/>
  <c r="E88" i="252" s="1"/>
  <c r="F31" i="252"/>
  <c r="U30" i="252"/>
  <c r="S87" i="252" s="1"/>
  <c r="T30" i="252"/>
  <c r="N30" i="252"/>
  <c r="L87" i="252" s="1"/>
  <c r="M30" i="252"/>
  <c r="G30" i="252"/>
  <c r="E87" i="252" s="1"/>
  <c r="F30" i="252"/>
  <c r="U29" i="252"/>
  <c r="S86" i="252" s="1"/>
  <c r="T29" i="252"/>
  <c r="N29" i="252"/>
  <c r="L86" i="252" s="1"/>
  <c r="M29" i="252"/>
  <c r="G29" i="252"/>
  <c r="E86" i="252" s="1"/>
  <c r="F29" i="252"/>
  <c r="U28" i="252"/>
  <c r="S85" i="252" s="1"/>
  <c r="T28" i="252"/>
  <c r="N28" i="252"/>
  <c r="L85" i="252" s="1"/>
  <c r="M28" i="252"/>
  <c r="G28" i="252"/>
  <c r="E85" i="252" s="1"/>
  <c r="F28" i="252"/>
  <c r="U27" i="252"/>
  <c r="S84" i="252" s="1"/>
  <c r="T27" i="252"/>
  <c r="N27" i="252"/>
  <c r="L84" i="252" s="1"/>
  <c r="M27" i="252"/>
  <c r="G27" i="252"/>
  <c r="E84" i="252" s="1"/>
  <c r="F27" i="252"/>
  <c r="U26" i="252"/>
  <c r="S83" i="252" s="1"/>
  <c r="T26" i="252"/>
  <c r="N26" i="252"/>
  <c r="L83" i="252" s="1"/>
  <c r="M26" i="252"/>
  <c r="G26" i="252"/>
  <c r="E83" i="252" s="1"/>
  <c r="F26" i="252"/>
  <c r="U25" i="252"/>
  <c r="S82" i="252" s="1"/>
  <c r="T25" i="252"/>
  <c r="N25" i="252"/>
  <c r="L82" i="252" s="1"/>
  <c r="M25" i="252"/>
  <c r="G25" i="252"/>
  <c r="E82" i="252" s="1"/>
  <c r="F25" i="252"/>
  <c r="U24" i="252"/>
  <c r="S81" i="252" s="1"/>
  <c r="T24" i="252"/>
  <c r="N24" i="252"/>
  <c r="L81" i="252" s="1"/>
  <c r="M24" i="252"/>
  <c r="G24" i="252"/>
  <c r="E81" i="252" s="1"/>
  <c r="F24" i="252"/>
  <c r="U19" i="252"/>
  <c r="J22" i="258" s="1"/>
  <c r="T19" i="252"/>
  <c r="N19" i="252"/>
  <c r="J22" i="257" s="1"/>
  <c r="M19" i="252"/>
  <c r="G19" i="252"/>
  <c r="J22" i="256" s="1"/>
  <c r="F19" i="252"/>
  <c r="U18" i="252"/>
  <c r="J21" i="258" s="1"/>
  <c r="T18" i="252"/>
  <c r="N18" i="252"/>
  <c r="J21" i="257" s="1"/>
  <c r="M18" i="252"/>
  <c r="G18" i="252"/>
  <c r="J21" i="256" s="1"/>
  <c r="F18" i="252"/>
  <c r="U17" i="252"/>
  <c r="J20" i="258" s="1"/>
  <c r="T17" i="252"/>
  <c r="N17" i="252"/>
  <c r="J20" i="257" s="1"/>
  <c r="M17" i="252"/>
  <c r="G17" i="252"/>
  <c r="J20" i="256" s="1"/>
  <c r="F17" i="252"/>
  <c r="U16" i="252"/>
  <c r="J19" i="258" s="1"/>
  <c r="T16" i="252"/>
  <c r="N16" i="252"/>
  <c r="J19" i="257" s="1"/>
  <c r="M16" i="252"/>
  <c r="G16" i="252"/>
  <c r="J19" i="256" s="1"/>
  <c r="F16" i="252"/>
  <c r="U15" i="252"/>
  <c r="J18" i="258" s="1"/>
  <c r="T15" i="252"/>
  <c r="N15" i="252"/>
  <c r="J18" i="257" s="1"/>
  <c r="M15" i="252"/>
  <c r="G15" i="252"/>
  <c r="J18" i="256" s="1"/>
  <c r="F15" i="252"/>
  <c r="U14" i="252"/>
  <c r="J17" i="258" s="1"/>
  <c r="T14" i="252"/>
  <c r="N14" i="252"/>
  <c r="J17" i="257" s="1"/>
  <c r="M14" i="252"/>
  <c r="G14" i="252"/>
  <c r="J17" i="256" s="1"/>
  <c r="F14" i="252"/>
  <c r="U13" i="252"/>
  <c r="J16" i="258" s="1"/>
  <c r="T13" i="252"/>
  <c r="N13" i="252"/>
  <c r="J16" i="257" s="1"/>
  <c r="M13" i="252"/>
  <c r="G13" i="252"/>
  <c r="J16" i="256" s="1"/>
  <c r="F13" i="252"/>
  <c r="U12" i="252"/>
  <c r="J15" i="258" s="1"/>
  <c r="T12" i="252"/>
  <c r="N12" i="252"/>
  <c r="J15" i="257" s="1"/>
  <c r="M12" i="252"/>
  <c r="G12" i="252"/>
  <c r="J15" i="256" s="1"/>
  <c r="F12" i="252"/>
  <c r="U11" i="252"/>
  <c r="J14" i="258" s="1"/>
  <c r="T11" i="252"/>
  <c r="N11" i="252"/>
  <c r="J14" i="257" s="1"/>
  <c r="M11" i="252"/>
  <c r="G11" i="252"/>
  <c r="J14" i="256" s="1"/>
  <c r="F11" i="252"/>
  <c r="U10" i="252"/>
  <c r="J13" i="258" s="1"/>
  <c r="T10" i="252"/>
  <c r="N10" i="252"/>
  <c r="J13" i="257" s="1"/>
  <c r="M10" i="252"/>
  <c r="G10" i="252"/>
  <c r="J13" i="256" s="1"/>
  <c r="F10" i="252"/>
  <c r="U9" i="252"/>
  <c r="J12" i="258" s="1"/>
  <c r="T9" i="252"/>
  <c r="N9" i="252"/>
  <c r="J12" i="257" s="1"/>
  <c r="M9" i="252"/>
  <c r="G9" i="252"/>
  <c r="J12" i="256" s="1"/>
  <c r="F9" i="252"/>
  <c r="U8" i="252"/>
  <c r="J11" i="258" s="1"/>
  <c r="T8" i="252"/>
  <c r="N8" i="252"/>
  <c r="J11" i="257" s="1"/>
  <c r="M8" i="252"/>
  <c r="G8" i="252"/>
  <c r="J11" i="256" s="1"/>
  <c r="F8" i="252"/>
  <c r="U7" i="252"/>
  <c r="J10" i="258" s="1"/>
  <c r="T7" i="252"/>
  <c r="N7" i="252"/>
  <c r="J10" i="257" s="1"/>
  <c r="M7" i="252"/>
  <c r="G7" i="252"/>
  <c r="J10" i="256" s="1"/>
  <c r="F7" i="252"/>
  <c r="U6" i="252"/>
  <c r="J9" i="258" s="1"/>
  <c r="T6" i="252"/>
  <c r="N6" i="252"/>
  <c r="J9" i="257" s="1"/>
  <c r="M6" i="252"/>
  <c r="G6" i="252"/>
  <c r="J9" i="256" s="1"/>
  <c r="F6" i="252"/>
  <c r="U5" i="252"/>
  <c r="J8" i="258" s="1"/>
  <c r="T5" i="252"/>
  <c r="N5" i="252"/>
  <c r="J8" i="257" s="1"/>
  <c r="M5" i="252"/>
  <c r="G5" i="252"/>
  <c r="J8" i="256" s="1"/>
  <c r="F5" i="252"/>
  <c r="F20" i="257" l="1"/>
  <c r="F21" i="257"/>
  <c r="F20" i="258"/>
  <c r="F12" i="258"/>
  <c r="F13" i="258"/>
  <c r="F21" i="258"/>
  <c r="F16" i="256"/>
  <c r="F22" i="256"/>
  <c r="K82" i="252"/>
  <c r="D84" i="252"/>
  <c r="R85" i="252"/>
  <c r="D87" i="252"/>
  <c r="R87" i="252"/>
  <c r="K89" i="252"/>
  <c r="D91" i="252"/>
  <c r="K92" i="252"/>
  <c r="D93" i="252"/>
  <c r="R94" i="252"/>
  <c r="K81" i="252"/>
  <c r="R81" i="252"/>
  <c r="I10" i="256"/>
  <c r="F12" i="256"/>
  <c r="F19" i="256"/>
  <c r="F10" i="257"/>
  <c r="F11" i="257"/>
  <c r="F12" i="257"/>
  <c r="F17" i="257"/>
  <c r="F22" i="257"/>
  <c r="L22" i="257" s="1"/>
  <c r="F10" i="258"/>
  <c r="F11" i="258"/>
  <c r="L11" i="258" s="1"/>
  <c r="I16" i="258"/>
  <c r="F19" i="258"/>
  <c r="L19" i="258" s="1"/>
  <c r="I22" i="258"/>
  <c r="L9" i="256"/>
  <c r="L17" i="256"/>
  <c r="L14" i="257"/>
  <c r="Q87" i="252"/>
  <c r="K88" i="252"/>
  <c r="K95" i="252"/>
  <c r="F15" i="257"/>
  <c r="L8" i="257"/>
  <c r="F11" i="256"/>
  <c r="F8" i="256"/>
  <c r="K14" i="258"/>
  <c r="L20" i="258"/>
  <c r="L14" i="258"/>
  <c r="F15" i="258"/>
  <c r="K15" i="258" s="1"/>
  <c r="K11" i="258"/>
  <c r="Q94" i="252"/>
  <c r="L8" i="258"/>
  <c r="K20" i="258"/>
  <c r="R86" i="252"/>
  <c r="F9" i="258"/>
  <c r="L17" i="258"/>
  <c r="L13" i="258"/>
  <c r="F16" i="258"/>
  <c r="L16" i="258" s="1"/>
  <c r="K9" i="258"/>
  <c r="R90" i="252"/>
  <c r="R84" i="252"/>
  <c r="L12" i="258"/>
  <c r="K21" i="258"/>
  <c r="L18" i="258"/>
  <c r="R93" i="252"/>
  <c r="K12" i="258"/>
  <c r="Q85" i="252"/>
  <c r="K10" i="258"/>
  <c r="K18" i="258"/>
  <c r="L21" i="258"/>
  <c r="R92" i="252"/>
  <c r="L10" i="258"/>
  <c r="L9" i="258"/>
  <c r="K13" i="258"/>
  <c r="K22" i="258"/>
  <c r="K19" i="258"/>
  <c r="R88" i="252"/>
  <c r="R83" i="252"/>
  <c r="R91" i="252"/>
  <c r="L22" i="258"/>
  <c r="L17" i="257"/>
  <c r="F18" i="257"/>
  <c r="L18" i="257" s="1"/>
  <c r="J89" i="252"/>
  <c r="K86" i="252"/>
  <c r="F9" i="257"/>
  <c r="L9" i="257" s="1"/>
  <c r="F16" i="257"/>
  <c r="L16" i="257" s="1"/>
  <c r="K94" i="252"/>
  <c r="K11" i="257"/>
  <c r="L11" i="257"/>
  <c r="K17" i="257"/>
  <c r="K10" i="257"/>
  <c r="L15" i="257"/>
  <c r="K84" i="252"/>
  <c r="L21" i="257"/>
  <c r="J82" i="252"/>
  <c r="K87" i="252"/>
  <c r="L20" i="257"/>
  <c r="K14" i="257"/>
  <c r="K22" i="257"/>
  <c r="K13" i="257"/>
  <c r="K15" i="257"/>
  <c r="J92" i="252"/>
  <c r="L13" i="257"/>
  <c r="K19" i="257"/>
  <c r="K90" i="252"/>
  <c r="K16" i="257"/>
  <c r="L19" i="257"/>
  <c r="L12" i="257"/>
  <c r="K83" i="252"/>
  <c r="K21" i="257"/>
  <c r="L10" i="257"/>
  <c r="K85" i="252"/>
  <c r="K20" i="257"/>
  <c r="K8" i="257"/>
  <c r="K8" i="258"/>
  <c r="F20" i="256"/>
  <c r="L20" i="256" s="1"/>
  <c r="C93" i="252"/>
  <c r="C87" i="252"/>
  <c r="L13" i="256"/>
  <c r="D81" i="252"/>
  <c r="K22" i="256"/>
  <c r="D94" i="252"/>
  <c r="L22" i="256"/>
  <c r="D90" i="252"/>
  <c r="F10" i="256"/>
  <c r="L10" i="256" s="1"/>
  <c r="D82" i="252"/>
  <c r="K8" i="256"/>
  <c r="L8" i="256"/>
  <c r="L15" i="256"/>
  <c r="K9" i="256"/>
  <c r="K17" i="256"/>
  <c r="K10" i="256"/>
  <c r="L16" i="256"/>
  <c r="K19" i="256"/>
  <c r="D85" i="252"/>
  <c r="L21" i="256"/>
  <c r="L11" i="256"/>
  <c r="K21" i="256"/>
  <c r="C91" i="252"/>
  <c r="L19" i="256"/>
  <c r="D89" i="252"/>
  <c r="C84" i="252"/>
  <c r="K12" i="256"/>
  <c r="K18" i="256"/>
  <c r="K15" i="256"/>
  <c r="K14" i="256"/>
  <c r="L14" i="256"/>
  <c r="L12" i="256"/>
  <c r="L18" i="256"/>
  <c r="K13" i="256"/>
  <c r="D92" i="252"/>
  <c r="K11" i="256"/>
  <c r="D95" i="252"/>
  <c r="K16" i="256"/>
  <c r="D86" i="252"/>
  <c r="K91" i="252"/>
  <c r="R82" i="252"/>
  <c r="D88" i="252"/>
  <c r="K93" i="252"/>
  <c r="I12" i="257"/>
  <c r="K12" i="257" s="1"/>
  <c r="I17" i="258"/>
  <c r="K17" i="258" s="1"/>
  <c r="K9" i="257" l="1"/>
  <c r="K16" i="258"/>
  <c r="L15" i="258"/>
  <c r="K18" i="257"/>
  <c r="K20" i="256"/>
  <c r="D8" i="251" l="1"/>
  <c r="E8" i="251"/>
  <c r="F8" i="251"/>
  <c r="C9" i="251"/>
  <c r="D9" i="251"/>
  <c r="E9" i="251"/>
  <c r="C10" i="251"/>
  <c r="F10" i="251" s="1"/>
  <c r="D10" i="251"/>
  <c r="E10" i="251"/>
  <c r="C11" i="251"/>
  <c r="D11" i="251"/>
  <c r="E11" i="251"/>
  <c r="C12" i="251"/>
  <c r="D12" i="251"/>
  <c r="E12" i="251"/>
  <c r="F12" i="251"/>
  <c r="C13" i="251"/>
  <c r="D13" i="251"/>
  <c r="E13" i="251"/>
  <c r="C14" i="251"/>
  <c r="F14" i="251" s="1"/>
  <c r="D14" i="251"/>
  <c r="E14" i="251"/>
  <c r="C15" i="251"/>
  <c r="D15" i="251"/>
  <c r="E15" i="251"/>
  <c r="C16" i="251"/>
  <c r="F16" i="251" s="1"/>
  <c r="D16" i="251"/>
  <c r="E16" i="251"/>
  <c r="C17" i="251"/>
  <c r="D17" i="251"/>
  <c r="E17" i="251"/>
  <c r="C18" i="251"/>
  <c r="D18" i="251"/>
  <c r="E18" i="251"/>
  <c r="F18" i="251"/>
  <c r="C19" i="251"/>
  <c r="F19" i="251" s="1"/>
  <c r="D19" i="251"/>
  <c r="E19" i="251"/>
  <c r="C20" i="251"/>
  <c r="D20" i="251"/>
  <c r="E20" i="251"/>
  <c r="F20" i="251"/>
  <c r="C21" i="251"/>
  <c r="D21" i="251"/>
  <c r="E21" i="251"/>
  <c r="C22" i="251"/>
  <c r="F22" i="251" s="1"/>
  <c r="D22" i="251"/>
  <c r="E22" i="251"/>
  <c r="C8" i="250"/>
  <c r="F8" i="250" s="1"/>
  <c r="D8" i="250"/>
  <c r="E8" i="250"/>
  <c r="C9" i="250"/>
  <c r="D9" i="250"/>
  <c r="E9" i="250"/>
  <c r="F9" i="250"/>
  <c r="C10" i="250"/>
  <c r="D10" i="250"/>
  <c r="E10" i="250"/>
  <c r="C11" i="250"/>
  <c r="F11" i="250" s="1"/>
  <c r="D11" i="250"/>
  <c r="E11" i="250"/>
  <c r="C12" i="250"/>
  <c r="D12" i="250"/>
  <c r="E12" i="250"/>
  <c r="C13" i="250"/>
  <c r="F13" i="250" s="1"/>
  <c r="D13" i="250"/>
  <c r="E13" i="250"/>
  <c r="C14" i="250"/>
  <c r="D14" i="250"/>
  <c r="E14" i="250"/>
  <c r="C15" i="250"/>
  <c r="D15" i="250"/>
  <c r="E15" i="250"/>
  <c r="F15" i="250"/>
  <c r="C16" i="250"/>
  <c r="D16" i="250"/>
  <c r="E16" i="250"/>
  <c r="C17" i="250"/>
  <c r="F17" i="250" s="1"/>
  <c r="D17" i="250"/>
  <c r="E17" i="250"/>
  <c r="C18" i="250"/>
  <c r="D18" i="250"/>
  <c r="E18" i="250"/>
  <c r="C19" i="250"/>
  <c r="F19" i="250" s="1"/>
  <c r="D19" i="250"/>
  <c r="E19" i="250"/>
  <c r="C20" i="250"/>
  <c r="D20" i="250"/>
  <c r="E20" i="250"/>
  <c r="C21" i="250"/>
  <c r="F21" i="250" s="1"/>
  <c r="D21" i="250"/>
  <c r="E21" i="250"/>
  <c r="C22" i="250"/>
  <c r="D22" i="250"/>
  <c r="E22" i="250"/>
  <c r="C8" i="249"/>
  <c r="D8" i="249"/>
  <c r="E8" i="249"/>
  <c r="F8" i="249"/>
  <c r="C9" i="249"/>
  <c r="D9" i="249"/>
  <c r="E9" i="249"/>
  <c r="C10" i="249"/>
  <c r="F10" i="249" s="1"/>
  <c r="D10" i="249"/>
  <c r="E10" i="249"/>
  <c r="C11" i="249"/>
  <c r="D11" i="249"/>
  <c r="E11" i="249"/>
  <c r="C12" i="249"/>
  <c r="D12" i="249"/>
  <c r="E12" i="249"/>
  <c r="C13" i="249"/>
  <c r="D13" i="249"/>
  <c r="E13" i="249"/>
  <c r="C14" i="249"/>
  <c r="F14" i="249" s="1"/>
  <c r="D14" i="249"/>
  <c r="E14" i="249"/>
  <c r="C15" i="249"/>
  <c r="D15" i="249"/>
  <c r="E15" i="249"/>
  <c r="C16" i="249"/>
  <c r="F16" i="249" s="1"/>
  <c r="D16" i="249"/>
  <c r="E16" i="249"/>
  <c r="C17" i="249"/>
  <c r="D17" i="249"/>
  <c r="E17" i="249"/>
  <c r="C18" i="249"/>
  <c r="F18" i="249" s="1"/>
  <c r="D18" i="249"/>
  <c r="E18" i="249"/>
  <c r="C19" i="249"/>
  <c r="D19" i="249"/>
  <c r="E19" i="249"/>
  <c r="C20" i="249"/>
  <c r="F20" i="249" s="1"/>
  <c r="D20" i="249"/>
  <c r="E20" i="249"/>
  <c r="C21" i="249"/>
  <c r="D21" i="249"/>
  <c r="E21" i="249"/>
  <c r="C22" i="249"/>
  <c r="F22" i="249" s="1"/>
  <c r="D22" i="249"/>
  <c r="E22" i="249"/>
  <c r="F5" i="245"/>
  <c r="G5" i="245"/>
  <c r="J8" i="249" s="1"/>
  <c r="L8" i="249" s="1"/>
  <c r="M5" i="245"/>
  <c r="N5" i="245"/>
  <c r="J8" i="250" s="1"/>
  <c r="L8" i="250" s="1"/>
  <c r="T5" i="245"/>
  <c r="U5" i="245"/>
  <c r="J8" i="251" s="1"/>
  <c r="F6" i="245"/>
  <c r="G6" i="245"/>
  <c r="J9" i="249" s="1"/>
  <c r="M6" i="245"/>
  <c r="N6" i="245"/>
  <c r="J9" i="250" s="1"/>
  <c r="L9" i="250" s="1"/>
  <c r="T6" i="245"/>
  <c r="U6" i="245"/>
  <c r="J9" i="251" s="1"/>
  <c r="F7" i="245"/>
  <c r="G7" i="245"/>
  <c r="J10" i="249" s="1"/>
  <c r="M7" i="245"/>
  <c r="N7" i="245"/>
  <c r="J10" i="250" s="1"/>
  <c r="T7" i="245"/>
  <c r="U7" i="245"/>
  <c r="J10" i="251" s="1"/>
  <c r="F8" i="245"/>
  <c r="G8" i="245"/>
  <c r="J11" i="249" s="1"/>
  <c r="M8" i="245"/>
  <c r="N8" i="245"/>
  <c r="J11" i="250" s="1"/>
  <c r="T8" i="245"/>
  <c r="U8" i="245"/>
  <c r="J11" i="251" s="1"/>
  <c r="F9" i="245"/>
  <c r="G9" i="245"/>
  <c r="J12" i="249" s="1"/>
  <c r="M9" i="245"/>
  <c r="N9" i="245"/>
  <c r="J12" i="250" s="1"/>
  <c r="T9" i="245"/>
  <c r="U9" i="245"/>
  <c r="J12" i="251" s="1"/>
  <c r="L12" i="251" s="1"/>
  <c r="F10" i="245"/>
  <c r="G10" i="245"/>
  <c r="J13" i="249" s="1"/>
  <c r="M10" i="245"/>
  <c r="N10" i="245"/>
  <c r="J13" i="250" s="1"/>
  <c r="T10" i="245"/>
  <c r="U10" i="245"/>
  <c r="J13" i="251" s="1"/>
  <c r="F11" i="245"/>
  <c r="G11" i="245"/>
  <c r="J14" i="249" s="1"/>
  <c r="M11" i="245"/>
  <c r="N11" i="245"/>
  <c r="J14" i="250" s="1"/>
  <c r="T11" i="245"/>
  <c r="U11" i="245"/>
  <c r="J14" i="251" s="1"/>
  <c r="F12" i="245"/>
  <c r="G12" i="245"/>
  <c r="J15" i="249" s="1"/>
  <c r="M12" i="245"/>
  <c r="N12" i="245"/>
  <c r="J15" i="250" s="1"/>
  <c r="L15" i="250" s="1"/>
  <c r="T12" i="245"/>
  <c r="U12" i="245"/>
  <c r="J15" i="251" s="1"/>
  <c r="F13" i="245"/>
  <c r="G13" i="245"/>
  <c r="J16" i="249" s="1"/>
  <c r="M13" i="245"/>
  <c r="N13" i="245"/>
  <c r="J16" i="250" s="1"/>
  <c r="T13" i="245"/>
  <c r="U13" i="245"/>
  <c r="J16" i="251" s="1"/>
  <c r="F14" i="245"/>
  <c r="G14" i="245"/>
  <c r="J17" i="249" s="1"/>
  <c r="M14" i="245"/>
  <c r="N14" i="245"/>
  <c r="J17" i="250" s="1"/>
  <c r="T14" i="245"/>
  <c r="U14" i="245"/>
  <c r="J17" i="251" s="1"/>
  <c r="F15" i="245"/>
  <c r="G15" i="245"/>
  <c r="J18" i="249" s="1"/>
  <c r="M15" i="245"/>
  <c r="N15" i="245"/>
  <c r="J18" i="250" s="1"/>
  <c r="T15" i="245"/>
  <c r="U15" i="245"/>
  <c r="J18" i="251" s="1"/>
  <c r="L18" i="251" s="1"/>
  <c r="F16" i="245"/>
  <c r="G16" i="245"/>
  <c r="J19" i="249" s="1"/>
  <c r="M16" i="245"/>
  <c r="N16" i="245"/>
  <c r="J19" i="250" s="1"/>
  <c r="T16" i="245"/>
  <c r="U16" i="245"/>
  <c r="J19" i="251" s="1"/>
  <c r="F17" i="245"/>
  <c r="G17" i="245"/>
  <c r="J20" i="249" s="1"/>
  <c r="M17" i="245"/>
  <c r="N17" i="245"/>
  <c r="J20" i="250" s="1"/>
  <c r="T17" i="245"/>
  <c r="U17" i="245"/>
  <c r="J20" i="251" s="1"/>
  <c r="L20" i="251" s="1"/>
  <c r="F18" i="245"/>
  <c r="G18" i="245"/>
  <c r="J21" i="249" s="1"/>
  <c r="M18" i="245"/>
  <c r="N18" i="245"/>
  <c r="J21" i="250" s="1"/>
  <c r="T18" i="245"/>
  <c r="U18" i="245"/>
  <c r="J21" i="251" s="1"/>
  <c r="F19" i="245"/>
  <c r="G19" i="245"/>
  <c r="J22" i="249" s="1"/>
  <c r="M19" i="245"/>
  <c r="N19" i="245"/>
  <c r="J22" i="250" s="1"/>
  <c r="T19" i="245"/>
  <c r="U19" i="245"/>
  <c r="J22" i="251" s="1"/>
  <c r="F24" i="245"/>
  <c r="G24" i="245"/>
  <c r="E81" i="245" s="1"/>
  <c r="M24" i="245"/>
  <c r="N24" i="245"/>
  <c r="T24" i="245"/>
  <c r="U24" i="245"/>
  <c r="F25" i="245"/>
  <c r="G25" i="245"/>
  <c r="E82" i="245" s="1"/>
  <c r="M25" i="245"/>
  <c r="N25" i="245"/>
  <c r="L82" i="245" s="1"/>
  <c r="T25" i="245"/>
  <c r="U25" i="245"/>
  <c r="F26" i="245"/>
  <c r="G26" i="245"/>
  <c r="M26" i="245"/>
  <c r="N26" i="245"/>
  <c r="L83" i="245" s="1"/>
  <c r="T26" i="245"/>
  <c r="U26" i="245"/>
  <c r="S83" i="245" s="1"/>
  <c r="F27" i="245"/>
  <c r="G27" i="245"/>
  <c r="E84" i="245" s="1"/>
  <c r="M27" i="245"/>
  <c r="N27" i="245"/>
  <c r="L84" i="245" s="1"/>
  <c r="T27" i="245"/>
  <c r="U27" i="245"/>
  <c r="F28" i="245"/>
  <c r="G28" i="245"/>
  <c r="E85" i="245" s="1"/>
  <c r="M28" i="245"/>
  <c r="N28" i="245"/>
  <c r="T28" i="245"/>
  <c r="U28" i="245"/>
  <c r="F29" i="245"/>
  <c r="G29" i="245"/>
  <c r="E86" i="245" s="1"/>
  <c r="M29" i="245"/>
  <c r="N29" i="245"/>
  <c r="L86" i="245" s="1"/>
  <c r="T29" i="245"/>
  <c r="U29" i="245"/>
  <c r="F30" i="245"/>
  <c r="G30" i="245"/>
  <c r="M30" i="245"/>
  <c r="N30" i="245"/>
  <c r="L87" i="245" s="1"/>
  <c r="T30" i="245"/>
  <c r="U30" i="245"/>
  <c r="S87" i="245" s="1"/>
  <c r="F31" i="245"/>
  <c r="G31" i="245"/>
  <c r="M31" i="245"/>
  <c r="N31" i="245"/>
  <c r="T31" i="245"/>
  <c r="U31" i="245"/>
  <c r="S88" i="245" s="1"/>
  <c r="F32" i="245"/>
  <c r="G32" i="245"/>
  <c r="E89" i="245" s="1"/>
  <c r="M32" i="245"/>
  <c r="N32" i="245"/>
  <c r="L89" i="245" s="1"/>
  <c r="T32" i="245"/>
  <c r="U32" i="245"/>
  <c r="S89" i="245" s="1"/>
  <c r="F33" i="245"/>
  <c r="G33" i="245"/>
  <c r="M33" i="245"/>
  <c r="N33" i="245"/>
  <c r="L90" i="245" s="1"/>
  <c r="T33" i="245"/>
  <c r="U33" i="245"/>
  <c r="F34" i="245"/>
  <c r="G34" i="245"/>
  <c r="M34" i="245"/>
  <c r="N34" i="245"/>
  <c r="L91" i="245" s="1"/>
  <c r="T34" i="245"/>
  <c r="U34" i="245"/>
  <c r="S91" i="245" s="1"/>
  <c r="F35" i="245"/>
  <c r="G35" i="245"/>
  <c r="M35" i="245"/>
  <c r="N35" i="245"/>
  <c r="T35" i="245"/>
  <c r="U35" i="245"/>
  <c r="S92" i="245" s="1"/>
  <c r="F36" i="245"/>
  <c r="G36" i="245"/>
  <c r="E93" i="245" s="1"/>
  <c r="M36" i="245"/>
  <c r="N36" i="245"/>
  <c r="T36" i="245"/>
  <c r="U36" i="245"/>
  <c r="F37" i="245"/>
  <c r="G37" i="245"/>
  <c r="E94" i="245" s="1"/>
  <c r="M37" i="245"/>
  <c r="N37" i="245"/>
  <c r="L94" i="245" s="1"/>
  <c r="T37" i="245"/>
  <c r="U37" i="245"/>
  <c r="S94" i="245" s="1"/>
  <c r="F38" i="245"/>
  <c r="G38" i="245"/>
  <c r="E95" i="245" s="1"/>
  <c r="M38" i="245"/>
  <c r="N38" i="245"/>
  <c r="L95" i="245" s="1"/>
  <c r="T38" i="245"/>
  <c r="U38" i="245"/>
  <c r="S95" i="245" s="1"/>
  <c r="F43" i="245"/>
  <c r="G43" i="245"/>
  <c r="I8" i="249" s="1"/>
  <c r="K8" i="249" s="1"/>
  <c r="M43" i="245"/>
  <c r="N43" i="245"/>
  <c r="I8" i="250" s="1"/>
  <c r="K8" i="250" s="1"/>
  <c r="T43" i="245"/>
  <c r="U43" i="245"/>
  <c r="I8" i="251" s="1"/>
  <c r="F44" i="245"/>
  <c r="G44" i="245"/>
  <c r="M44" i="245"/>
  <c r="N44" i="245"/>
  <c r="T44" i="245"/>
  <c r="U44" i="245"/>
  <c r="I9" i="251" s="1"/>
  <c r="F45" i="245"/>
  <c r="G45" i="245"/>
  <c r="I10" i="249" s="1"/>
  <c r="M45" i="245"/>
  <c r="N45" i="245"/>
  <c r="T45" i="245"/>
  <c r="U45" i="245"/>
  <c r="I10" i="251" s="1"/>
  <c r="F46" i="245"/>
  <c r="G46" i="245"/>
  <c r="I11" i="249" s="1"/>
  <c r="M46" i="245"/>
  <c r="N46" i="245"/>
  <c r="T46" i="245"/>
  <c r="U46" i="245"/>
  <c r="I11" i="251" s="1"/>
  <c r="F47" i="245"/>
  <c r="G47" i="245"/>
  <c r="I12" i="249" s="1"/>
  <c r="M47" i="245"/>
  <c r="N47" i="245"/>
  <c r="I12" i="250" s="1"/>
  <c r="T47" i="245"/>
  <c r="U47" i="245"/>
  <c r="F48" i="245"/>
  <c r="G48" i="245"/>
  <c r="I13" i="249" s="1"/>
  <c r="M48" i="245"/>
  <c r="N48" i="245"/>
  <c r="I13" i="250" s="1"/>
  <c r="T48" i="245"/>
  <c r="U48" i="245"/>
  <c r="I13" i="251" s="1"/>
  <c r="F49" i="245"/>
  <c r="G49" i="245"/>
  <c r="M49" i="245"/>
  <c r="N49" i="245"/>
  <c r="T49" i="245"/>
  <c r="U49" i="245"/>
  <c r="F50" i="245"/>
  <c r="G50" i="245"/>
  <c r="I15" i="249" s="1"/>
  <c r="M50" i="245"/>
  <c r="N50" i="245"/>
  <c r="I15" i="250" s="1"/>
  <c r="K15" i="250" s="1"/>
  <c r="T50" i="245"/>
  <c r="U50" i="245"/>
  <c r="F51" i="245"/>
  <c r="G51" i="245"/>
  <c r="I16" i="249" s="1"/>
  <c r="K16" i="249" s="1"/>
  <c r="M51" i="245"/>
  <c r="N51" i="245"/>
  <c r="I16" i="250" s="1"/>
  <c r="T51" i="245"/>
  <c r="U51" i="245"/>
  <c r="I16" i="251" s="1"/>
  <c r="F52" i="245"/>
  <c r="G52" i="245"/>
  <c r="I17" i="249" s="1"/>
  <c r="M52" i="245"/>
  <c r="N52" i="245"/>
  <c r="I17" i="250" s="1"/>
  <c r="K17" i="250" s="1"/>
  <c r="T52" i="245"/>
  <c r="U52" i="245"/>
  <c r="I17" i="251" s="1"/>
  <c r="F53" i="245"/>
  <c r="G53" i="245"/>
  <c r="M53" i="245"/>
  <c r="N53" i="245"/>
  <c r="I18" i="250" s="1"/>
  <c r="T53" i="245"/>
  <c r="U53" i="245"/>
  <c r="I18" i="251" s="1"/>
  <c r="F54" i="245"/>
  <c r="G54" i="245"/>
  <c r="I19" i="249" s="1"/>
  <c r="M54" i="245"/>
  <c r="N54" i="245"/>
  <c r="T54" i="245"/>
  <c r="U54" i="245"/>
  <c r="F55" i="245"/>
  <c r="G55" i="245"/>
  <c r="I20" i="249" s="1"/>
  <c r="M55" i="245"/>
  <c r="N55" i="245"/>
  <c r="I20" i="250" s="1"/>
  <c r="T55" i="245"/>
  <c r="U55" i="245"/>
  <c r="I20" i="251" s="1"/>
  <c r="F56" i="245"/>
  <c r="G56" i="245"/>
  <c r="M56" i="245"/>
  <c r="N56" i="245"/>
  <c r="I21" i="250" s="1"/>
  <c r="T56" i="245"/>
  <c r="U56" i="245"/>
  <c r="I21" i="251" s="1"/>
  <c r="F57" i="245"/>
  <c r="G57" i="245"/>
  <c r="I22" i="249" s="1"/>
  <c r="M57" i="245"/>
  <c r="N57" i="245"/>
  <c r="T57" i="245"/>
  <c r="U57" i="245"/>
  <c r="I22" i="251" s="1"/>
  <c r="K22" i="251" s="1"/>
  <c r="F62" i="245"/>
  <c r="G62" i="245"/>
  <c r="C81" i="245" s="1"/>
  <c r="M62" i="245"/>
  <c r="N62" i="245"/>
  <c r="J81" i="245" s="1"/>
  <c r="T62" i="245"/>
  <c r="U62" i="245"/>
  <c r="Q81" i="245" s="1"/>
  <c r="F63" i="245"/>
  <c r="G63" i="245"/>
  <c r="C82" i="245" s="1"/>
  <c r="M63" i="245"/>
  <c r="N63" i="245"/>
  <c r="J82" i="245" s="1"/>
  <c r="T63" i="245"/>
  <c r="U63" i="245"/>
  <c r="Q82" i="245" s="1"/>
  <c r="F64" i="245"/>
  <c r="G64" i="245"/>
  <c r="C83" i="245" s="1"/>
  <c r="M64" i="245"/>
  <c r="N64" i="245"/>
  <c r="J83" i="245" s="1"/>
  <c r="T64" i="245"/>
  <c r="U64" i="245"/>
  <c r="Q83" i="245" s="1"/>
  <c r="F65" i="245"/>
  <c r="G65" i="245"/>
  <c r="C84" i="245" s="1"/>
  <c r="M65" i="245"/>
  <c r="N65" i="245"/>
  <c r="J84" i="245" s="1"/>
  <c r="T65" i="245"/>
  <c r="U65" i="245"/>
  <c r="F66" i="245"/>
  <c r="G66" i="245"/>
  <c r="M66" i="245"/>
  <c r="N66" i="245"/>
  <c r="J85" i="245" s="1"/>
  <c r="T66" i="245"/>
  <c r="U66" i="245"/>
  <c r="Q85" i="245" s="1"/>
  <c r="F67" i="245"/>
  <c r="G67" i="245"/>
  <c r="C86" i="245" s="1"/>
  <c r="M67" i="245"/>
  <c r="N67" i="245"/>
  <c r="J86" i="245" s="1"/>
  <c r="T67" i="245"/>
  <c r="U67" i="245"/>
  <c r="Q86" i="245" s="1"/>
  <c r="F68" i="245"/>
  <c r="G68" i="245"/>
  <c r="C87" i="245" s="1"/>
  <c r="M68" i="245"/>
  <c r="N68" i="245"/>
  <c r="J87" i="245" s="1"/>
  <c r="T68" i="245"/>
  <c r="U68" i="245"/>
  <c r="Q87" i="245" s="1"/>
  <c r="F69" i="245"/>
  <c r="G69" i="245"/>
  <c r="C88" i="245" s="1"/>
  <c r="M69" i="245"/>
  <c r="N69" i="245"/>
  <c r="J88" i="245" s="1"/>
  <c r="T69" i="245"/>
  <c r="U69" i="245"/>
  <c r="Q88" i="245" s="1"/>
  <c r="F70" i="245"/>
  <c r="G70" i="245"/>
  <c r="M70" i="245"/>
  <c r="N70" i="245"/>
  <c r="J89" i="245" s="1"/>
  <c r="T70" i="245"/>
  <c r="U70" i="245"/>
  <c r="Q89" i="245" s="1"/>
  <c r="F71" i="245"/>
  <c r="G71" i="245"/>
  <c r="C90" i="245" s="1"/>
  <c r="M71" i="245"/>
  <c r="N71" i="245"/>
  <c r="J90" i="245" s="1"/>
  <c r="T71" i="245"/>
  <c r="U71" i="245"/>
  <c r="Q90" i="245" s="1"/>
  <c r="F72" i="245"/>
  <c r="G72" i="245"/>
  <c r="C91" i="245" s="1"/>
  <c r="M72" i="245"/>
  <c r="N72" i="245"/>
  <c r="J91" i="245" s="1"/>
  <c r="T72" i="245"/>
  <c r="U72" i="245"/>
  <c r="Q91" i="245" s="1"/>
  <c r="F73" i="245"/>
  <c r="G73" i="245"/>
  <c r="C92" i="245" s="1"/>
  <c r="M73" i="245"/>
  <c r="N73" i="245"/>
  <c r="J92" i="245" s="1"/>
  <c r="T73" i="245"/>
  <c r="U73" i="245"/>
  <c r="Q92" i="245" s="1"/>
  <c r="F74" i="245"/>
  <c r="G74" i="245"/>
  <c r="C93" i="245" s="1"/>
  <c r="M74" i="245"/>
  <c r="N74" i="245"/>
  <c r="J93" i="245" s="1"/>
  <c r="T74" i="245"/>
  <c r="U74" i="245"/>
  <c r="Q93" i="245" s="1"/>
  <c r="F75" i="245"/>
  <c r="G75" i="245"/>
  <c r="C94" i="245" s="1"/>
  <c r="M75" i="245"/>
  <c r="N75" i="245"/>
  <c r="J94" i="245" s="1"/>
  <c r="T75" i="245"/>
  <c r="U75" i="245"/>
  <c r="Q94" i="245" s="1"/>
  <c r="F76" i="245"/>
  <c r="G76" i="245"/>
  <c r="C95" i="245" s="1"/>
  <c r="M76" i="245"/>
  <c r="N76" i="245"/>
  <c r="T76" i="245"/>
  <c r="U76" i="245"/>
  <c r="Q95" i="245" s="1"/>
  <c r="L81" i="245"/>
  <c r="S81" i="245"/>
  <c r="S82" i="245"/>
  <c r="E83" i="245"/>
  <c r="Q84" i="245"/>
  <c r="S84" i="245"/>
  <c r="C85" i="245"/>
  <c r="L85" i="245"/>
  <c r="S85" i="245"/>
  <c r="S86" i="245"/>
  <c r="E87" i="245"/>
  <c r="E88" i="245"/>
  <c r="L88" i="245"/>
  <c r="C89" i="245"/>
  <c r="E90" i="245"/>
  <c r="R90" i="245"/>
  <c r="S90" i="245"/>
  <c r="E91" i="245"/>
  <c r="E92" i="245"/>
  <c r="L92" i="245"/>
  <c r="L93" i="245"/>
  <c r="S93" i="245"/>
  <c r="J95" i="245"/>
  <c r="K21" i="250" l="1"/>
  <c r="K16" i="251"/>
  <c r="K13" i="250"/>
  <c r="K10" i="249"/>
  <c r="L21" i="250"/>
  <c r="L13" i="250"/>
  <c r="L10" i="249"/>
  <c r="F21" i="249"/>
  <c r="L21" i="249" s="1"/>
  <c r="F11" i="251"/>
  <c r="K22" i="249"/>
  <c r="F12" i="249"/>
  <c r="K12" i="249" s="1"/>
  <c r="L20" i="249"/>
  <c r="L10" i="251"/>
  <c r="F9" i="249"/>
  <c r="F14" i="250"/>
  <c r="L14" i="250" s="1"/>
  <c r="F10" i="250"/>
  <c r="L10" i="250" s="1"/>
  <c r="F13" i="251"/>
  <c r="L13" i="251" s="1"/>
  <c r="K20" i="249"/>
  <c r="K85" i="245"/>
  <c r="F15" i="249"/>
  <c r="K15" i="249" s="1"/>
  <c r="F11" i="249"/>
  <c r="K11" i="249" s="1"/>
  <c r="F22" i="250"/>
  <c r="F16" i="250"/>
  <c r="L16" i="250" s="1"/>
  <c r="F21" i="251"/>
  <c r="L21" i="251" s="1"/>
  <c r="L14" i="249"/>
  <c r="K95" i="245"/>
  <c r="D94" i="245"/>
  <c r="R92" i="245"/>
  <c r="K92" i="245"/>
  <c r="D91" i="245"/>
  <c r="R87" i="245"/>
  <c r="D87" i="245"/>
  <c r="R85" i="245"/>
  <c r="K84" i="245"/>
  <c r="R95" i="245"/>
  <c r="K94" i="245"/>
  <c r="R93" i="245"/>
  <c r="D92" i="245"/>
  <c r="R91" i="245"/>
  <c r="K90" i="245"/>
  <c r="D89" i="245"/>
  <c r="K88" i="245"/>
  <c r="R86" i="245"/>
  <c r="K86" i="245"/>
  <c r="D85" i="245"/>
  <c r="R83" i="245"/>
  <c r="D83" i="245"/>
  <c r="K81" i="245"/>
  <c r="D81" i="245"/>
  <c r="F19" i="249"/>
  <c r="K19" i="249" s="1"/>
  <c r="F17" i="249"/>
  <c r="K17" i="249" s="1"/>
  <c r="F13" i="249"/>
  <c r="L19" i="250"/>
  <c r="F18" i="250"/>
  <c r="L11" i="250"/>
  <c r="F17" i="251"/>
  <c r="I14" i="251"/>
  <c r="K14" i="251" s="1"/>
  <c r="F9" i="251"/>
  <c r="D95" i="245"/>
  <c r="D93" i="245"/>
  <c r="K18" i="250"/>
  <c r="K17" i="251"/>
  <c r="R89" i="245"/>
  <c r="R88" i="245"/>
  <c r="D88" i="245"/>
  <c r="K87" i="245"/>
  <c r="K13" i="249"/>
  <c r="K83" i="245"/>
  <c r="K9" i="251"/>
  <c r="K82" i="245"/>
  <c r="D82" i="245"/>
  <c r="R81" i="245"/>
  <c r="L22" i="251"/>
  <c r="L19" i="249"/>
  <c r="L18" i="250"/>
  <c r="L18" i="249"/>
  <c r="L17" i="251"/>
  <c r="L17" i="250"/>
  <c r="L17" i="249"/>
  <c r="L16" i="249"/>
  <c r="L14" i="251"/>
  <c r="L13" i="249"/>
  <c r="L12" i="249"/>
  <c r="L9" i="251"/>
  <c r="L22" i="249"/>
  <c r="I18" i="249"/>
  <c r="K18" i="249" s="1"/>
  <c r="I14" i="249"/>
  <c r="K14" i="249" s="1"/>
  <c r="F20" i="250"/>
  <c r="I19" i="250"/>
  <c r="K19" i="250" s="1"/>
  <c r="F12" i="250"/>
  <c r="I11" i="250"/>
  <c r="K11" i="250" s="1"/>
  <c r="I9" i="250"/>
  <c r="K9" i="250" s="1"/>
  <c r="L16" i="251"/>
  <c r="F15" i="251"/>
  <c r="L15" i="251" s="1"/>
  <c r="I12" i="251"/>
  <c r="L8" i="251"/>
  <c r="K8" i="251"/>
  <c r="K20" i="251"/>
  <c r="K18" i="251"/>
  <c r="K13" i="251"/>
  <c r="K12" i="251"/>
  <c r="K10" i="251"/>
  <c r="K12" i="250"/>
  <c r="K11" i="251"/>
  <c r="L12" i="250"/>
  <c r="K21" i="251"/>
  <c r="K20" i="250"/>
  <c r="L20" i="250"/>
  <c r="L15" i="249"/>
  <c r="L22" i="250"/>
  <c r="L19" i="251"/>
  <c r="L11" i="251"/>
  <c r="L9" i="249"/>
  <c r="K16" i="250"/>
  <c r="D90" i="245"/>
  <c r="K93" i="245"/>
  <c r="R82" i="245"/>
  <c r="K91" i="245"/>
  <c r="D86" i="245"/>
  <c r="R84" i="245"/>
  <c r="R94" i="245"/>
  <c r="K89" i="245"/>
  <c r="D84" i="245"/>
  <c r="I21" i="249"/>
  <c r="K21" i="249" s="1"/>
  <c r="I9" i="249"/>
  <c r="K9" i="249" s="1"/>
  <c r="I22" i="250"/>
  <c r="K22" i="250" s="1"/>
  <c r="I14" i="250"/>
  <c r="K14" i="250" s="1"/>
  <c r="I10" i="250"/>
  <c r="K10" i="250" s="1"/>
  <c r="I19" i="251"/>
  <c r="K19" i="251" s="1"/>
  <c r="I15" i="251"/>
  <c r="K15" i="251" s="1"/>
  <c r="L11" i="249" l="1"/>
  <c r="D9" i="153"/>
  <c r="C9" i="153"/>
  <c r="D17" i="135"/>
  <c r="C17" i="135"/>
  <c r="D15" i="134"/>
  <c r="C15" i="134"/>
  <c r="G8" i="225" l="1"/>
  <c r="G7" i="225"/>
  <c r="G6" i="225"/>
  <c r="G5" i="225"/>
  <c r="B7" i="24" l="1"/>
  <c r="F13" i="198" l="1"/>
  <c r="D14" i="198"/>
  <c r="E14" i="198"/>
  <c r="F14" i="198" s="1"/>
  <c r="F16" i="198"/>
  <c r="D17" i="198"/>
  <c r="E17" i="198"/>
  <c r="F17" i="198" s="1"/>
  <c r="F19" i="198"/>
  <c r="D20" i="198"/>
  <c r="E20" i="198"/>
  <c r="F20" i="198" s="1"/>
  <c r="F22" i="198"/>
  <c r="D23" i="198"/>
  <c r="E23" i="198"/>
  <c r="F23" i="198" s="1"/>
  <c r="F26" i="198"/>
  <c r="G26" i="198"/>
  <c r="F27" i="198"/>
  <c r="G27" i="198"/>
  <c r="F28" i="198"/>
  <c r="G28" i="198"/>
  <c r="F29" i="198"/>
  <c r="G29" i="198"/>
  <c r="F30" i="198"/>
  <c r="G30" i="198"/>
  <c r="F31" i="198"/>
  <c r="G31" i="198"/>
  <c r="F32" i="198"/>
  <c r="G32" i="198"/>
  <c r="F34" i="198"/>
  <c r="G34" i="198"/>
  <c r="F35" i="198"/>
  <c r="G35" i="198"/>
  <c r="F36" i="198"/>
  <c r="G36" i="198"/>
  <c r="F37" i="198"/>
  <c r="G37" i="198"/>
  <c r="F38" i="198"/>
  <c r="G38" i="198"/>
  <c r="F39" i="198"/>
  <c r="G39" i="198"/>
  <c r="F40" i="198"/>
  <c r="G40" i="198"/>
  <c r="F42" i="198"/>
  <c r="G42" i="198"/>
  <c r="F43" i="198"/>
  <c r="G43" i="198"/>
  <c r="F44" i="198"/>
  <c r="G44" i="198"/>
  <c r="F45" i="198"/>
  <c r="G45" i="198"/>
  <c r="F46" i="198"/>
  <c r="G46" i="198"/>
  <c r="F47" i="198"/>
  <c r="G47" i="198"/>
  <c r="F48" i="198"/>
  <c r="G48" i="198"/>
  <c r="F50" i="198"/>
  <c r="G50" i="198"/>
  <c r="F51" i="198"/>
  <c r="G51" i="198"/>
  <c r="F52" i="198"/>
  <c r="G52" i="198"/>
  <c r="F53" i="198"/>
  <c r="G53" i="198"/>
  <c r="F54" i="198"/>
  <c r="G54" i="198"/>
  <c r="F55" i="198"/>
  <c r="G55" i="198"/>
  <c r="F56" i="198"/>
  <c r="G56" i="198"/>
  <c r="F20" i="23" l="1"/>
  <c r="E20" i="23"/>
  <c r="D20" i="23"/>
  <c r="C20" i="23"/>
  <c r="F19" i="23"/>
  <c r="E19" i="23"/>
  <c r="D19" i="23"/>
  <c r="C19" i="23"/>
  <c r="F18" i="23"/>
  <c r="E18" i="23"/>
  <c r="D18" i="23"/>
  <c r="C18" i="23"/>
  <c r="F17" i="23"/>
  <c r="E17" i="23"/>
  <c r="D17" i="23"/>
  <c r="C17" i="23"/>
  <c r="F16" i="23"/>
  <c r="E16" i="23"/>
  <c r="D16" i="23"/>
  <c r="C16" i="23"/>
  <c r="F15" i="23"/>
  <c r="E15" i="23"/>
  <c r="D15" i="23"/>
  <c r="C15" i="23"/>
  <c r="F14" i="23"/>
  <c r="E14" i="23"/>
  <c r="D14" i="23"/>
  <c r="C14" i="23"/>
  <c r="F13" i="23"/>
  <c r="E13" i="23"/>
  <c r="D13" i="23"/>
  <c r="C13" i="23"/>
  <c r="F12" i="23"/>
  <c r="E12" i="23"/>
  <c r="D12" i="23"/>
  <c r="C12" i="23"/>
  <c r="F11" i="23"/>
  <c r="E11" i="23"/>
  <c r="D11" i="23"/>
  <c r="C11" i="23"/>
  <c r="F10" i="23"/>
  <c r="E10" i="23"/>
  <c r="D10" i="23"/>
  <c r="C10" i="23"/>
  <c r="F9" i="23"/>
  <c r="E9" i="23"/>
  <c r="D9" i="23"/>
  <c r="C9" i="23"/>
  <c r="F8" i="23"/>
  <c r="E8" i="23"/>
  <c r="D8" i="23"/>
  <c r="C8" i="23"/>
  <c r="F7" i="23"/>
  <c r="E7" i="23"/>
  <c r="D7" i="23"/>
  <c r="C7" i="23"/>
  <c r="B6" i="23"/>
  <c r="G4" i="243"/>
  <c r="F6" i="23" s="1"/>
  <c r="F4" i="243"/>
  <c r="E6" i="23" s="1"/>
  <c r="E4" i="243"/>
  <c r="D6" i="23" s="1"/>
  <c r="D4" i="243"/>
  <c r="C6" i="23" s="1"/>
  <c r="D9" i="37" l="1"/>
  <c r="E9" i="37"/>
  <c r="F9" i="37"/>
  <c r="G9" i="37"/>
  <c r="H9" i="37"/>
  <c r="I9" i="37"/>
  <c r="J9" i="37"/>
  <c r="K9" i="37"/>
  <c r="L9" i="37"/>
  <c r="M9" i="37"/>
  <c r="N9" i="37"/>
  <c r="O9" i="37"/>
  <c r="P9" i="37"/>
  <c r="Q9" i="37"/>
  <c r="R9" i="37"/>
  <c r="S9" i="37"/>
  <c r="T9" i="37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C17" i="37"/>
  <c r="C16" i="37"/>
  <c r="C15" i="37"/>
  <c r="C14" i="37"/>
  <c r="C13" i="37"/>
  <c r="C12" i="37"/>
  <c r="C11" i="37"/>
  <c r="C10" i="37"/>
  <c r="C9" i="37"/>
  <c r="D9" i="35" l="1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E8" i="35"/>
  <c r="D8" i="35"/>
  <c r="C9" i="35"/>
  <c r="C10" i="35"/>
  <c r="C11" i="35"/>
  <c r="C12" i="35"/>
  <c r="C13" i="35"/>
  <c r="C14" i="35"/>
  <c r="C15" i="35"/>
  <c r="C16" i="35"/>
  <c r="C17" i="35"/>
  <c r="C18" i="35"/>
  <c r="C8" i="35"/>
  <c r="C18" i="41" l="1"/>
  <c r="C17" i="41"/>
  <c r="C16" i="41"/>
  <c r="C15" i="41"/>
  <c r="C14" i="41"/>
  <c r="C13" i="41"/>
  <c r="C12" i="41"/>
  <c r="C11" i="41"/>
  <c r="C10" i="41"/>
  <c r="C9" i="41"/>
  <c r="C8" i="41"/>
  <c r="E18" i="39"/>
  <c r="D18" i="39"/>
  <c r="E17" i="39"/>
  <c r="D17" i="39"/>
  <c r="E16" i="39"/>
  <c r="D16" i="39"/>
  <c r="E15" i="39"/>
  <c r="D15" i="39"/>
  <c r="E14" i="39"/>
  <c r="D14" i="39"/>
  <c r="E13" i="39"/>
  <c r="D13" i="39"/>
  <c r="E12" i="39"/>
  <c r="D12" i="39"/>
  <c r="E11" i="39"/>
  <c r="D11" i="39"/>
  <c r="E10" i="39"/>
  <c r="D10" i="39"/>
  <c r="E9" i="39"/>
  <c r="D9" i="39"/>
  <c r="E8" i="39"/>
  <c r="D8" i="39"/>
  <c r="C18" i="39"/>
  <c r="C17" i="39"/>
  <c r="C16" i="39"/>
  <c r="C15" i="39"/>
  <c r="C14" i="39"/>
  <c r="C13" i="39"/>
  <c r="C12" i="39"/>
  <c r="C11" i="39"/>
  <c r="C10" i="39"/>
  <c r="C9" i="39"/>
  <c r="C8" i="39"/>
  <c r="E8" i="36" l="1"/>
  <c r="E9" i="36"/>
  <c r="E10" i="36"/>
  <c r="E11" i="36"/>
  <c r="E12" i="36"/>
  <c r="E13" i="36"/>
  <c r="E14" i="36"/>
  <c r="E15" i="36"/>
  <c r="E16" i="36"/>
  <c r="E17" i="36"/>
  <c r="E18" i="36"/>
  <c r="D9" i="36"/>
  <c r="D10" i="36"/>
  <c r="D11" i="36"/>
  <c r="D12" i="36"/>
  <c r="D13" i="36"/>
  <c r="D14" i="36"/>
  <c r="D15" i="36"/>
  <c r="D16" i="36"/>
  <c r="D17" i="36"/>
  <c r="D18" i="36"/>
  <c r="D8" i="36"/>
  <c r="C9" i="36"/>
  <c r="C10" i="36"/>
  <c r="C11" i="36"/>
  <c r="C12" i="36"/>
  <c r="C13" i="36"/>
  <c r="C14" i="36"/>
  <c r="C15" i="36"/>
  <c r="C16" i="36"/>
  <c r="C17" i="36"/>
  <c r="C18" i="36"/>
  <c r="C8" i="36"/>
  <c r="L10" i="171" l="1"/>
  <c r="L9" i="171"/>
  <c r="L8" i="171"/>
  <c r="L7" i="171"/>
  <c r="L6" i="171"/>
  <c r="L5" i="171"/>
  <c r="G5" i="242" l="1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6" i="108"/>
  <c r="D15" i="108"/>
  <c r="D14" i="108"/>
  <c r="D13" i="108"/>
  <c r="D12" i="108"/>
  <c r="D11" i="108"/>
  <c r="D10" i="108"/>
  <c r="D9" i="108"/>
  <c r="D8" i="108"/>
  <c r="C31" i="108"/>
  <c r="C29" i="108"/>
  <c r="C28" i="108"/>
  <c r="C27" i="108"/>
  <c r="C26" i="108"/>
  <c r="C25" i="108"/>
  <c r="C24" i="108"/>
  <c r="C23" i="108"/>
  <c r="C22" i="108"/>
  <c r="C21" i="108"/>
  <c r="C20" i="108"/>
  <c r="C19" i="108"/>
  <c r="C18" i="108"/>
  <c r="C16" i="108"/>
  <c r="C15" i="108"/>
  <c r="C14" i="108"/>
  <c r="C13" i="108"/>
  <c r="C12" i="108"/>
  <c r="C11" i="108"/>
  <c r="C10" i="108"/>
  <c r="C9" i="108"/>
  <c r="C8" i="108"/>
  <c r="C10" i="163" l="1"/>
  <c r="C9" i="163"/>
  <c r="C8" i="163"/>
  <c r="D10" i="163"/>
  <c r="D9" i="163"/>
  <c r="D8" i="163"/>
  <c r="E10" i="163"/>
  <c r="E9" i="163"/>
  <c r="E8" i="163"/>
  <c r="E10" i="24"/>
  <c r="E9" i="24"/>
  <c r="E8" i="24"/>
  <c r="D10" i="24"/>
  <c r="D9" i="24"/>
  <c r="D8" i="24"/>
  <c r="C10" i="24"/>
  <c r="C9" i="24"/>
  <c r="C8" i="24"/>
  <c r="P26" i="242"/>
  <c r="O26" i="242"/>
  <c r="P25" i="242"/>
  <c r="O25" i="242"/>
  <c r="P24" i="242"/>
  <c r="O24" i="242"/>
  <c r="P23" i="242"/>
  <c r="O23" i="242"/>
  <c r="P22" i="242"/>
  <c r="O22" i="242"/>
  <c r="P21" i="242"/>
  <c r="O21" i="242"/>
  <c r="P20" i="242"/>
  <c r="O20" i="242"/>
  <c r="P19" i="242"/>
  <c r="O19" i="242"/>
  <c r="P18" i="242"/>
  <c r="O18" i="242"/>
  <c r="P17" i="242"/>
  <c r="O17" i="242"/>
  <c r="P16" i="242"/>
  <c r="O16" i="242"/>
  <c r="P15" i="242"/>
  <c r="O15" i="242"/>
  <c r="P14" i="242"/>
  <c r="O14" i="242"/>
  <c r="P13" i="242"/>
  <c r="O13" i="242"/>
  <c r="P12" i="242"/>
  <c r="O12" i="242"/>
  <c r="P11" i="242"/>
  <c r="O11" i="242"/>
  <c r="P10" i="242"/>
  <c r="O10" i="242"/>
  <c r="P9" i="242"/>
  <c r="O9" i="242"/>
  <c r="P8" i="242"/>
  <c r="O8" i="242"/>
  <c r="P7" i="242"/>
  <c r="O7" i="242"/>
  <c r="P6" i="242"/>
  <c r="O6" i="242"/>
  <c r="P5" i="242"/>
  <c r="O5" i="242"/>
  <c r="H26" i="242"/>
  <c r="G26" i="242"/>
  <c r="H25" i="242"/>
  <c r="G25" i="242"/>
  <c r="H24" i="242"/>
  <c r="G24" i="242"/>
  <c r="H23" i="242"/>
  <c r="G23" i="242"/>
  <c r="H22" i="242"/>
  <c r="G22" i="242"/>
  <c r="H21" i="242"/>
  <c r="G21" i="242"/>
  <c r="H20" i="242"/>
  <c r="G20" i="242"/>
  <c r="H19" i="242"/>
  <c r="G19" i="242"/>
  <c r="H18" i="242"/>
  <c r="G18" i="242"/>
  <c r="H17" i="242"/>
  <c r="G17" i="242"/>
  <c r="H16" i="242"/>
  <c r="G16" i="242"/>
  <c r="H15" i="242"/>
  <c r="G15" i="242"/>
  <c r="H14" i="242"/>
  <c r="G14" i="242"/>
  <c r="H13" i="242"/>
  <c r="G13" i="242"/>
  <c r="H12" i="242"/>
  <c r="G12" i="242"/>
  <c r="H11" i="242"/>
  <c r="G11" i="242"/>
  <c r="H10" i="242"/>
  <c r="G10" i="242"/>
  <c r="H9" i="242"/>
  <c r="G9" i="242"/>
  <c r="H8" i="242"/>
  <c r="G8" i="242"/>
  <c r="H7" i="242"/>
  <c r="G7" i="242"/>
  <c r="H6" i="242"/>
  <c r="G6" i="242"/>
  <c r="H5" i="242"/>
  <c r="E31" i="22"/>
  <c r="D31" i="22"/>
  <c r="C31" i="22"/>
  <c r="E29" i="22"/>
  <c r="D29" i="22"/>
  <c r="C29" i="22"/>
  <c r="E28" i="22"/>
  <c r="D28" i="22"/>
  <c r="C28" i="22"/>
  <c r="E27" i="22"/>
  <c r="D27" i="22"/>
  <c r="C27" i="22"/>
  <c r="E26" i="22"/>
  <c r="D26" i="22"/>
  <c r="C26" i="22"/>
  <c r="E25" i="22"/>
  <c r="D25" i="22"/>
  <c r="C25" i="22"/>
  <c r="D24" i="22"/>
  <c r="C24" i="22"/>
  <c r="E23" i="22"/>
  <c r="D23" i="22"/>
  <c r="C23" i="22"/>
  <c r="E22" i="22"/>
  <c r="D22" i="22"/>
  <c r="C22" i="22"/>
  <c r="E21" i="22"/>
  <c r="D21" i="22"/>
  <c r="C21" i="22"/>
  <c r="E20" i="22"/>
  <c r="D20" i="22"/>
  <c r="C20" i="22"/>
  <c r="E19" i="22"/>
  <c r="D19" i="22"/>
  <c r="C19" i="22"/>
  <c r="E18" i="22"/>
  <c r="D18" i="22"/>
  <c r="C18" i="22"/>
  <c r="E16" i="22"/>
  <c r="D16" i="22"/>
  <c r="C16" i="22"/>
  <c r="E15" i="22"/>
  <c r="D15" i="22"/>
  <c r="C15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H86" i="241"/>
  <c r="G86" i="241"/>
  <c r="H85" i="241"/>
  <c r="G85" i="241"/>
  <c r="H84" i="241"/>
  <c r="G84" i="241"/>
  <c r="H83" i="241"/>
  <c r="G83" i="241"/>
  <c r="H82" i="241"/>
  <c r="G82" i="241"/>
  <c r="H81" i="241"/>
  <c r="G81" i="241"/>
  <c r="H80" i="241"/>
  <c r="G80" i="241"/>
  <c r="H79" i="241"/>
  <c r="G79" i="241"/>
  <c r="H78" i="241"/>
  <c r="G78" i="241"/>
  <c r="H76" i="241"/>
  <c r="G76" i="241"/>
  <c r="H75" i="241"/>
  <c r="G75" i="241"/>
  <c r="H74" i="241"/>
  <c r="G74" i="241"/>
  <c r="H73" i="241"/>
  <c r="G73" i="241"/>
  <c r="H72" i="241"/>
  <c r="G72" i="241"/>
  <c r="H71" i="241"/>
  <c r="G71" i="241"/>
  <c r="H70" i="241"/>
  <c r="G70" i="241"/>
  <c r="H69" i="241"/>
  <c r="G69" i="241"/>
  <c r="H68" i="241"/>
  <c r="G68" i="241"/>
  <c r="H66" i="241"/>
  <c r="G66" i="241"/>
  <c r="H65" i="241"/>
  <c r="G65" i="241"/>
  <c r="H64" i="241"/>
  <c r="G64" i="241"/>
  <c r="H63" i="241"/>
  <c r="G63" i="241"/>
  <c r="H62" i="241"/>
  <c r="G62" i="241"/>
  <c r="H61" i="241"/>
  <c r="G61" i="241"/>
  <c r="H60" i="241"/>
  <c r="G60" i="241"/>
  <c r="H59" i="241"/>
  <c r="G59" i="241"/>
  <c r="H58" i="241"/>
  <c r="G58" i="241"/>
  <c r="H53" i="241"/>
  <c r="G53" i="241"/>
  <c r="H52" i="241"/>
  <c r="G52" i="241"/>
  <c r="H51" i="241"/>
  <c r="G51" i="241"/>
  <c r="H50" i="241"/>
  <c r="G50" i="241"/>
  <c r="H49" i="241"/>
  <c r="G49" i="241"/>
  <c r="H48" i="241"/>
  <c r="G48" i="241"/>
  <c r="H47" i="241"/>
  <c r="G47" i="241"/>
  <c r="R46" i="241"/>
  <c r="Q46" i="241"/>
  <c r="P46" i="241"/>
  <c r="O46" i="241"/>
  <c r="N46" i="241"/>
  <c r="M46" i="241"/>
  <c r="R45" i="241"/>
  <c r="Q45" i="241"/>
  <c r="P45" i="241"/>
  <c r="O45" i="241"/>
  <c r="N45" i="241"/>
  <c r="M45" i="241"/>
  <c r="H45" i="241"/>
  <c r="G45" i="241"/>
  <c r="R44" i="241"/>
  <c r="Q44" i="241"/>
  <c r="P44" i="241"/>
  <c r="O44" i="241"/>
  <c r="N44" i="241"/>
  <c r="M44" i="241"/>
  <c r="H44" i="241"/>
  <c r="G44" i="241"/>
  <c r="H43" i="241"/>
  <c r="G43" i="241"/>
  <c r="H42" i="241"/>
  <c r="G42" i="241"/>
  <c r="H41" i="241"/>
  <c r="G41" i="241"/>
  <c r="H40" i="241"/>
  <c r="G40" i="241"/>
  <c r="H39" i="241"/>
  <c r="G39" i="241"/>
  <c r="H37" i="241"/>
  <c r="G37" i="241"/>
  <c r="H36" i="241"/>
  <c r="G36" i="241"/>
  <c r="H35" i="241"/>
  <c r="G35" i="241"/>
  <c r="H34" i="241"/>
  <c r="G34" i="241"/>
  <c r="H33" i="241"/>
  <c r="G33" i="241"/>
  <c r="H32" i="241"/>
  <c r="G32" i="241"/>
  <c r="H31" i="241"/>
  <c r="G31" i="241"/>
  <c r="H26" i="241"/>
  <c r="G26" i="241"/>
  <c r="H25" i="241"/>
  <c r="G25" i="241"/>
  <c r="H24" i="241"/>
  <c r="G24" i="241"/>
  <c r="H23" i="241"/>
  <c r="G23" i="241"/>
  <c r="H22" i="241"/>
  <c r="G22" i="241"/>
  <c r="H21" i="241"/>
  <c r="G21" i="241"/>
  <c r="H20" i="241"/>
  <c r="G20" i="241"/>
  <c r="H19" i="241"/>
  <c r="G19" i="241"/>
  <c r="H18" i="241"/>
  <c r="G18" i="241"/>
  <c r="H17" i="241"/>
  <c r="G17" i="241"/>
  <c r="H16" i="241"/>
  <c r="G16" i="241"/>
  <c r="H15" i="241"/>
  <c r="G15" i="241"/>
  <c r="H14" i="241"/>
  <c r="G14" i="241"/>
  <c r="H13" i="241"/>
  <c r="G13" i="241"/>
  <c r="H12" i="241"/>
  <c r="G12" i="241"/>
  <c r="H11" i="241"/>
  <c r="G11" i="241"/>
  <c r="H10" i="241"/>
  <c r="G10" i="241"/>
  <c r="H9" i="241"/>
  <c r="G9" i="241"/>
  <c r="H8" i="241"/>
  <c r="G8" i="241"/>
  <c r="H7" i="241"/>
  <c r="G7" i="241"/>
  <c r="H6" i="241"/>
  <c r="G6" i="241"/>
  <c r="H5" i="241"/>
  <c r="G5" i="241"/>
  <c r="E31" i="21"/>
  <c r="D31" i="21"/>
  <c r="C31" i="21"/>
  <c r="E29" i="21"/>
  <c r="D29" i="21"/>
  <c r="C29" i="21"/>
  <c r="E28" i="21"/>
  <c r="D28" i="21"/>
  <c r="C28" i="21"/>
  <c r="E27" i="21"/>
  <c r="D27" i="21"/>
  <c r="C27" i="21"/>
  <c r="E26" i="21"/>
  <c r="D26" i="21"/>
  <c r="C26" i="21"/>
  <c r="E25" i="21"/>
  <c r="D25" i="21"/>
  <c r="C25" i="21"/>
  <c r="E24" i="21"/>
  <c r="D24" i="21"/>
  <c r="C24" i="21"/>
  <c r="E23" i="21"/>
  <c r="D23" i="21"/>
  <c r="C23" i="21"/>
  <c r="E22" i="21"/>
  <c r="D22" i="21"/>
  <c r="C22" i="21"/>
  <c r="E21" i="21"/>
  <c r="D21" i="21"/>
  <c r="C21" i="21"/>
  <c r="E20" i="21"/>
  <c r="D20" i="21"/>
  <c r="C20" i="21"/>
  <c r="E19" i="21"/>
  <c r="D19" i="21"/>
  <c r="C19" i="21"/>
  <c r="E18" i="21"/>
  <c r="D18" i="21"/>
  <c r="C18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H86" i="240"/>
  <c r="G86" i="240"/>
  <c r="H85" i="240"/>
  <c r="G85" i="240"/>
  <c r="H84" i="240"/>
  <c r="G84" i="240"/>
  <c r="H83" i="240"/>
  <c r="G83" i="240"/>
  <c r="H82" i="240"/>
  <c r="G82" i="240"/>
  <c r="H81" i="240"/>
  <c r="G81" i="240"/>
  <c r="H80" i="240"/>
  <c r="G80" i="240"/>
  <c r="H79" i="240"/>
  <c r="G79" i="240"/>
  <c r="H78" i="240"/>
  <c r="G78" i="240"/>
  <c r="H76" i="240"/>
  <c r="G76" i="240"/>
  <c r="H75" i="240"/>
  <c r="G75" i="240"/>
  <c r="H74" i="240"/>
  <c r="G74" i="240"/>
  <c r="H73" i="240"/>
  <c r="G73" i="240"/>
  <c r="H72" i="240"/>
  <c r="G72" i="240"/>
  <c r="H71" i="240"/>
  <c r="G71" i="240"/>
  <c r="H70" i="240"/>
  <c r="G70" i="240"/>
  <c r="H69" i="240"/>
  <c r="G69" i="240"/>
  <c r="H68" i="240"/>
  <c r="G68" i="240"/>
  <c r="H66" i="240"/>
  <c r="G66" i="240"/>
  <c r="H65" i="240"/>
  <c r="G65" i="240"/>
  <c r="H64" i="240"/>
  <c r="G64" i="240"/>
  <c r="H63" i="240"/>
  <c r="G63" i="240"/>
  <c r="H62" i="240"/>
  <c r="G62" i="240"/>
  <c r="H61" i="240"/>
  <c r="G61" i="240"/>
  <c r="H60" i="240"/>
  <c r="G60" i="240"/>
  <c r="H59" i="240"/>
  <c r="G59" i="240"/>
  <c r="H58" i="240"/>
  <c r="G58" i="240"/>
  <c r="H53" i="240"/>
  <c r="G53" i="240"/>
  <c r="H52" i="240"/>
  <c r="G52" i="240"/>
  <c r="H51" i="240"/>
  <c r="G51" i="240"/>
  <c r="H50" i="240"/>
  <c r="G50" i="240"/>
  <c r="H49" i="240"/>
  <c r="G49" i="240"/>
  <c r="H48" i="240"/>
  <c r="G48" i="240"/>
  <c r="H47" i="240"/>
  <c r="G47" i="240"/>
  <c r="R46" i="240"/>
  <c r="Q46" i="240"/>
  <c r="P46" i="240"/>
  <c r="O46" i="240"/>
  <c r="N46" i="240"/>
  <c r="M46" i="240"/>
  <c r="R45" i="240"/>
  <c r="Q45" i="240"/>
  <c r="P45" i="240"/>
  <c r="O45" i="240"/>
  <c r="N45" i="240"/>
  <c r="M45" i="240"/>
  <c r="H45" i="240"/>
  <c r="G45" i="240"/>
  <c r="R44" i="240"/>
  <c r="Q44" i="240"/>
  <c r="P44" i="240"/>
  <c r="O44" i="240"/>
  <c r="N44" i="240"/>
  <c r="M44" i="240"/>
  <c r="H44" i="240"/>
  <c r="G44" i="240"/>
  <c r="H43" i="240"/>
  <c r="G43" i="240"/>
  <c r="H42" i="240"/>
  <c r="G42" i="240"/>
  <c r="H41" i="240"/>
  <c r="G41" i="240"/>
  <c r="H40" i="240"/>
  <c r="G40" i="240"/>
  <c r="H39" i="240"/>
  <c r="G39" i="240"/>
  <c r="H37" i="240"/>
  <c r="G37" i="240"/>
  <c r="H36" i="240"/>
  <c r="G36" i="240"/>
  <c r="H35" i="240"/>
  <c r="G35" i="240"/>
  <c r="H34" i="240"/>
  <c r="G34" i="240"/>
  <c r="H33" i="240"/>
  <c r="G33" i="240"/>
  <c r="H32" i="240"/>
  <c r="G32" i="240"/>
  <c r="H31" i="240"/>
  <c r="G31" i="240"/>
  <c r="H26" i="240"/>
  <c r="G26" i="240"/>
  <c r="H25" i="240"/>
  <c r="G25" i="240"/>
  <c r="H24" i="240"/>
  <c r="G24" i="240"/>
  <c r="H23" i="240"/>
  <c r="G23" i="240"/>
  <c r="H22" i="240"/>
  <c r="G22" i="240"/>
  <c r="H21" i="240"/>
  <c r="G21" i="240"/>
  <c r="H20" i="240"/>
  <c r="G20" i="240"/>
  <c r="H19" i="240"/>
  <c r="G19" i="240"/>
  <c r="H18" i="240"/>
  <c r="G18" i="240"/>
  <c r="H17" i="240"/>
  <c r="G17" i="240"/>
  <c r="H16" i="240"/>
  <c r="G16" i="240"/>
  <c r="H15" i="240"/>
  <c r="G15" i="240"/>
  <c r="H14" i="240"/>
  <c r="G14" i="240"/>
  <c r="H13" i="240"/>
  <c r="G13" i="240"/>
  <c r="H12" i="240"/>
  <c r="G12" i="240"/>
  <c r="H11" i="240"/>
  <c r="G11" i="240"/>
  <c r="H10" i="240"/>
  <c r="G10" i="240"/>
  <c r="H9" i="240"/>
  <c r="G9" i="240"/>
  <c r="H8" i="240"/>
  <c r="G8" i="240"/>
  <c r="H7" i="240"/>
  <c r="G7" i="240"/>
  <c r="H6" i="240"/>
  <c r="G6" i="240"/>
  <c r="H5" i="240"/>
  <c r="G5" i="240"/>
  <c r="Q46" i="202" l="1"/>
  <c r="Q45" i="202"/>
  <c r="Q44" i="202"/>
  <c r="O46" i="202"/>
  <c r="O45" i="202"/>
  <c r="O44" i="202"/>
  <c r="M46" i="202"/>
  <c r="M45" i="202"/>
  <c r="M44" i="202"/>
  <c r="Q46" i="239"/>
  <c r="Q45" i="239"/>
  <c r="Q44" i="239"/>
  <c r="O46" i="239"/>
  <c r="O45" i="239"/>
  <c r="O44" i="239"/>
  <c r="M46" i="239"/>
  <c r="M45" i="239"/>
  <c r="M44" i="239"/>
  <c r="Q46" i="201"/>
  <c r="Q45" i="201"/>
  <c r="Q44" i="201"/>
  <c r="O46" i="201"/>
  <c r="O45" i="201"/>
  <c r="O44" i="201"/>
  <c r="M46" i="201"/>
  <c r="M45" i="201"/>
  <c r="M44" i="201"/>
  <c r="R46" i="201"/>
  <c r="P46" i="201"/>
  <c r="N46" i="201"/>
  <c r="R46" i="202"/>
  <c r="P46" i="202"/>
  <c r="N46" i="202"/>
  <c r="E38" i="20" l="1"/>
  <c r="D38" i="20"/>
  <c r="C38" i="20"/>
  <c r="E37" i="20"/>
  <c r="D37" i="20"/>
  <c r="C37" i="20"/>
  <c r="E36" i="20"/>
  <c r="D36" i="20"/>
  <c r="C36" i="20"/>
  <c r="E35" i="20"/>
  <c r="D35" i="20"/>
  <c r="C35" i="20"/>
  <c r="E34" i="20"/>
  <c r="D34" i="20"/>
  <c r="C34" i="20"/>
  <c r="D33" i="20"/>
  <c r="C33" i="20"/>
  <c r="E32" i="20"/>
  <c r="D32" i="20"/>
  <c r="C32" i="20"/>
  <c r="E31" i="20"/>
  <c r="D31" i="20"/>
  <c r="C31" i="20"/>
  <c r="E30" i="20"/>
  <c r="D30" i="20"/>
  <c r="C30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32" i="19"/>
  <c r="D32" i="19"/>
  <c r="C32" i="19"/>
  <c r="E31" i="19"/>
  <c r="D31" i="19"/>
  <c r="C31" i="19"/>
  <c r="E30" i="19"/>
  <c r="D30" i="19"/>
  <c r="C30" i="19"/>
  <c r="D29" i="19"/>
  <c r="C29" i="19"/>
  <c r="D28" i="19"/>
  <c r="C28" i="19"/>
  <c r="D27" i="19"/>
  <c r="C27" i="19"/>
  <c r="E26" i="19"/>
  <c r="D26" i="19"/>
  <c r="C26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33" i="19"/>
  <c r="E24" i="19"/>
  <c r="E15" i="19"/>
  <c r="D33" i="19"/>
  <c r="D24" i="19"/>
  <c r="D15" i="19"/>
  <c r="C33" i="19"/>
  <c r="C24" i="19"/>
  <c r="C15" i="19"/>
  <c r="E38" i="17"/>
  <c r="D38" i="17"/>
  <c r="C38" i="17"/>
  <c r="E37" i="17"/>
  <c r="D37" i="17"/>
  <c r="C37" i="17"/>
  <c r="E36" i="17"/>
  <c r="D36" i="17"/>
  <c r="C36" i="17"/>
  <c r="E35" i="17"/>
  <c r="D35" i="17"/>
  <c r="C35" i="17"/>
  <c r="E34" i="17"/>
  <c r="D34" i="17"/>
  <c r="C34" i="17"/>
  <c r="E33" i="17"/>
  <c r="D33" i="17"/>
  <c r="C33" i="17"/>
  <c r="E32" i="17"/>
  <c r="D32" i="17"/>
  <c r="C32" i="17"/>
  <c r="D31" i="17"/>
  <c r="C31" i="17"/>
  <c r="E30" i="17"/>
  <c r="D30" i="17"/>
  <c r="C30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24" i="11"/>
  <c r="D24" i="11"/>
  <c r="C24" i="11"/>
  <c r="E15" i="11"/>
  <c r="D15" i="11"/>
  <c r="C15" i="11"/>
  <c r="E32" i="11"/>
  <c r="D32" i="11"/>
  <c r="C32" i="11"/>
  <c r="E31" i="11"/>
  <c r="D31" i="11"/>
  <c r="C31" i="11"/>
  <c r="E30" i="11"/>
  <c r="D30" i="11"/>
  <c r="C30" i="11"/>
  <c r="E29" i="11"/>
  <c r="D29" i="11"/>
  <c r="C29" i="11"/>
  <c r="E28" i="11"/>
  <c r="D28" i="11"/>
  <c r="C28" i="11"/>
  <c r="E27" i="11"/>
  <c r="D27" i="11"/>
  <c r="C27" i="11"/>
  <c r="E26" i="11"/>
  <c r="D26" i="11"/>
  <c r="C26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E10" i="11"/>
  <c r="D10" i="11"/>
  <c r="C10" i="11"/>
  <c r="E9" i="11"/>
  <c r="D9" i="11"/>
  <c r="C9" i="11"/>
  <c r="E8" i="11"/>
  <c r="D8" i="11"/>
  <c r="C8" i="11"/>
  <c r="R45" i="201" l="1"/>
  <c r="P45" i="201"/>
  <c r="N45" i="201"/>
  <c r="R44" i="201"/>
  <c r="P44" i="201"/>
  <c r="N44" i="201"/>
  <c r="R46" i="239"/>
  <c r="P46" i="239"/>
  <c r="N46" i="239"/>
  <c r="R45" i="239"/>
  <c r="P45" i="239"/>
  <c r="N45" i="239"/>
  <c r="R44" i="239"/>
  <c r="P44" i="239"/>
  <c r="N44" i="239"/>
  <c r="R44" i="202"/>
  <c r="R45" i="202"/>
  <c r="P45" i="202"/>
  <c r="P44" i="202"/>
  <c r="N45" i="202"/>
  <c r="N44" i="202"/>
  <c r="E39" i="20" l="1"/>
  <c r="D39" i="20"/>
  <c r="C39" i="20"/>
  <c r="E28" i="20"/>
  <c r="D28" i="20"/>
  <c r="C28" i="20"/>
  <c r="E17" i="20"/>
  <c r="D17" i="20"/>
  <c r="C17" i="20"/>
  <c r="E31" i="18"/>
  <c r="D31" i="18"/>
  <c r="C31" i="18"/>
  <c r="E29" i="18"/>
  <c r="D29" i="18"/>
  <c r="C29" i="18"/>
  <c r="E28" i="18"/>
  <c r="D28" i="18"/>
  <c r="C28" i="18"/>
  <c r="E27" i="18"/>
  <c r="D27" i="18"/>
  <c r="C27" i="18"/>
  <c r="E26" i="18"/>
  <c r="D26" i="18"/>
  <c r="C26" i="18"/>
  <c r="E25" i="18"/>
  <c r="D25" i="18"/>
  <c r="C25" i="18"/>
  <c r="E24" i="18"/>
  <c r="D24" i="18"/>
  <c r="C24" i="18"/>
  <c r="E23" i="18"/>
  <c r="D23" i="18"/>
  <c r="C23" i="18"/>
  <c r="E22" i="18"/>
  <c r="D22" i="18"/>
  <c r="C22" i="18"/>
  <c r="E21" i="18"/>
  <c r="D21" i="18"/>
  <c r="C21" i="18"/>
  <c r="E20" i="18"/>
  <c r="D20" i="18"/>
  <c r="C20" i="18"/>
  <c r="E19" i="18"/>
  <c r="D19" i="18"/>
  <c r="C19" i="18"/>
  <c r="E18" i="18"/>
  <c r="D18" i="18"/>
  <c r="C18" i="18"/>
  <c r="E16" i="18"/>
  <c r="D16" i="18"/>
  <c r="C16" i="18"/>
  <c r="E15" i="18"/>
  <c r="D15" i="18"/>
  <c r="C15" i="18"/>
  <c r="E14" i="18"/>
  <c r="D14" i="18"/>
  <c r="C14" i="18"/>
  <c r="E13" i="18"/>
  <c r="D13" i="18"/>
  <c r="C13" i="18"/>
  <c r="E12" i="18"/>
  <c r="D12" i="18"/>
  <c r="C12" i="18"/>
  <c r="E11" i="18"/>
  <c r="D11" i="18"/>
  <c r="C11" i="18"/>
  <c r="E10" i="18"/>
  <c r="D10" i="18"/>
  <c r="C10" i="18"/>
  <c r="E9" i="18"/>
  <c r="D9" i="18"/>
  <c r="C9" i="18"/>
  <c r="E8" i="18"/>
  <c r="D8" i="18"/>
  <c r="C8" i="18"/>
  <c r="E39" i="17"/>
  <c r="D39" i="17"/>
  <c r="C39" i="17"/>
  <c r="E28" i="17"/>
  <c r="D28" i="17"/>
  <c r="C28" i="17"/>
  <c r="E17" i="17"/>
  <c r="D17" i="17"/>
  <c r="C17" i="17"/>
  <c r="E33" i="16"/>
  <c r="D33" i="16"/>
  <c r="C33" i="16"/>
  <c r="E24" i="16"/>
  <c r="D24" i="16"/>
  <c r="C24" i="16"/>
  <c r="E15" i="16"/>
  <c r="D15" i="16"/>
  <c r="C15" i="16"/>
  <c r="E31" i="15"/>
  <c r="D31" i="15"/>
  <c r="C31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C9" i="14"/>
  <c r="C8" i="14"/>
  <c r="H91" i="202"/>
  <c r="G91" i="202"/>
  <c r="E7" i="13"/>
  <c r="D7" i="13"/>
  <c r="C7" i="13"/>
  <c r="E33" i="11"/>
  <c r="D33" i="11"/>
  <c r="C33" i="11"/>
  <c r="E31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6" i="10"/>
  <c r="E15" i="10"/>
  <c r="E14" i="10"/>
  <c r="E13" i="10"/>
  <c r="E12" i="10"/>
  <c r="E11" i="10"/>
  <c r="E10" i="10"/>
  <c r="E9" i="10"/>
  <c r="E8" i="10"/>
  <c r="D31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6" i="10"/>
  <c r="D15" i="10"/>
  <c r="D14" i="10"/>
  <c r="D13" i="10"/>
  <c r="D12" i="10"/>
  <c r="D11" i="10"/>
  <c r="D10" i="10"/>
  <c r="D9" i="10"/>
  <c r="D8" i="10"/>
  <c r="C31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6" i="10"/>
  <c r="C15" i="10"/>
  <c r="C14" i="10"/>
  <c r="C13" i="10"/>
  <c r="C12" i="10"/>
  <c r="C11" i="10"/>
  <c r="C10" i="10"/>
  <c r="C9" i="10"/>
  <c r="C8" i="10"/>
  <c r="H86" i="239"/>
  <c r="G86" i="239"/>
  <c r="H85" i="239"/>
  <c r="G85" i="239"/>
  <c r="H84" i="239"/>
  <c r="G84" i="239"/>
  <c r="H83" i="239"/>
  <c r="G83" i="239"/>
  <c r="H82" i="239"/>
  <c r="G82" i="239"/>
  <c r="H81" i="239"/>
  <c r="G81" i="239"/>
  <c r="H80" i="239"/>
  <c r="G80" i="239"/>
  <c r="H79" i="239"/>
  <c r="G79" i="239"/>
  <c r="H78" i="239"/>
  <c r="G78" i="239"/>
  <c r="H76" i="239"/>
  <c r="G76" i="239"/>
  <c r="H75" i="239"/>
  <c r="G75" i="239"/>
  <c r="H74" i="239"/>
  <c r="G74" i="239"/>
  <c r="H73" i="239"/>
  <c r="G73" i="239"/>
  <c r="H72" i="239"/>
  <c r="G72" i="239"/>
  <c r="H71" i="239"/>
  <c r="G71" i="239"/>
  <c r="H70" i="239"/>
  <c r="G70" i="239"/>
  <c r="H69" i="239"/>
  <c r="G69" i="239"/>
  <c r="H68" i="239"/>
  <c r="G68" i="239"/>
  <c r="H66" i="239"/>
  <c r="G66" i="239"/>
  <c r="H65" i="239"/>
  <c r="G65" i="239"/>
  <c r="H64" i="239"/>
  <c r="G64" i="239"/>
  <c r="H63" i="239"/>
  <c r="G63" i="239"/>
  <c r="H62" i="239"/>
  <c r="G62" i="239"/>
  <c r="H61" i="239"/>
  <c r="G61" i="239"/>
  <c r="H60" i="239"/>
  <c r="G60" i="239"/>
  <c r="H59" i="239"/>
  <c r="G59" i="239"/>
  <c r="H58" i="239"/>
  <c r="G58" i="239"/>
  <c r="H53" i="239"/>
  <c r="G53" i="239"/>
  <c r="H52" i="239"/>
  <c r="G52" i="239"/>
  <c r="H51" i="239"/>
  <c r="G51" i="239"/>
  <c r="H50" i="239"/>
  <c r="G50" i="239"/>
  <c r="H49" i="239"/>
  <c r="G49" i="239"/>
  <c r="H48" i="239"/>
  <c r="G48" i="239"/>
  <c r="H47" i="239"/>
  <c r="G47" i="239"/>
  <c r="H45" i="239"/>
  <c r="G45" i="239"/>
  <c r="H44" i="239"/>
  <c r="G44" i="239"/>
  <c r="H43" i="239"/>
  <c r="G43" i="239"/>
  <c r="H42" i="239"/>
  <c r="G42" i="239"/>
  <c r="H41" i="239"/>
  <c r="G41" i="239"/>
  <c r="H40" i="239"/>
  <c r="G40" i="239"/>
  <c r="H39" i="239"/>
  <c r="G39" i="239"/>
  <c r="H37" i="239"/>
  <c r="G37" i="239"/>
  <c r="H36" i="239"/>
  <c r="G36" i="239"/>
  <c r="H35" i="239"/>
  <c r="G35" i="239"/>
  <c r="H34" i="239"/>
  <c r="G34" i="239"/>
  <c r="H33" i="239"/>
  <c r="G33" i="239"/>
  <c r="H32" i="239"/>
  <c r="G32" i="239"/>
  <c r="H31" i="239"/>
  <c r="G31" i="239"/>
  <c r="H26" i="239"/>
  <c r="G26" i="239"/>
  <c r="H25" i="239"/>
  <c r="G25" i="239"/>
  <c r="H24" i="239"/>
  <c r="G24" i="239"/>
  <c r="H23" i="239"/>
  <c r="G23" i="239"/>
  <c r="H22" i="239"/>
  <c r="G22" i="239"/>
  <c r="H21" i="239"/>
  <c r="G21" i="239"/>
  <c r="H20" i="239"/>
  <c r="G20" i="239"/>
  <c r="H19" i="239"/>
  <c r="G19" i="239"/>
  <c r="H18" i="239"/>
  <c r="G18" i="239"/>
  <c r="H17" i="239"/>
  <c r="G17" i="239"/>
  <c r="H16" i="239"/>
  <c r="G16" i="239"/>
  <c r="H15" i="239"/>
  <c r="G15" i="239"/>
  <c r="H14" i="239"/>
  <c r="G14" i="239"/>
  <c r="H13" i="239"/>
  <c r="G13" i="239"/>
  <c r="H12" i="239"/>
  <c r="G12" i="239"/>
  <c r="H11" i="239"/>
  <c r="G11" i="239"/>
  <c r="H10" i="239"/>
  <c r="G10" i="239"/>
  <c r="H9" i="239"/>
  <c r="G9" i="239"/>
  <c r="H8" i="239"/>
  <c r="G8" i="239"/>
  <c r="H7" i="239"/>
  <c r="G7" i="239"/>
  <c r="H6" i="239"/>
  <c r="G6" i="239"/>
  <c r="H5" i="239"/>
  <c r="G5" i="239"/>
  <c r="D13" i="2" l="1"/>
  <c r="C11" i="2"/>
  <c r="D14" i="2" s="1"/>
  <c r="B3" i="204" l="1"/>
  <c r="B3" i="133"/>
  <c r="B3" i="110"/>
  <c r="B3" i="94"/>
  <c r="B3" i="166"/>
  <c r="B3" i="165"/>
  <c r="B3" i="164"/>
  <c r="B3" i="162"/>
  <c r="B3" i="161"/>
  <c r="B3" i="160"/>
  <c r="B3" i="159"/>
  <c r="B3" i="158"/>
  <c r="B3" i="157"/>
  <c r="B3" i="156"/>
  <c r="B3" i="203"/>
  <c r="E17" i="1"/>
  <c r="C17" i="1"/>
  <c r="B6" i="8" l="1"/>
  <c r="E16" i="1"/>
  <c r="C16" i="1"/>
  <c r="E15" i="1" l="1"/>
  <c r="C15" i="1"/>
  <c r="B7" i="7"/>
  <c r="B7" i="5"/>
  <c r="B7" i="6"/>
  <c r="E14" i="1"/>
  <c r="C14" i="1"/>
  <c r="E13" i="1"/>
  <c r="C13" i="1"/>
  <c r="E12" i="1"/>
  <c r="C12" i="1"/>
  <c r="B7" i="4"/>
  <c r="E8" i="1" l="1"/>
  <c r="C8" i="1"/>
  <c r="B6" i="3"/>
  <c r="E7" i="1" l="1"/>
  <c r="C7" i="1"/>
  <c r="B6" i="2"/>
  <c r="E9" i="104"/>
  <c r="D9" i="104"/>
  <c r="C9" i="104"/>
  <c r="H9" i="104"/>
  <c r="B9" i="104"/>
  <c r="E9" i="103"/>
  <c r="D9" i="103"/>
  <c r="C9" i="103"/>
  <c r="F9" i="103" s="1"/>
  <c r="H9" i="103"/>
  <c r="B9" i="103"/>
  <c r="E9" i="102"/>
  <c r="D9" i="102"/>
  <c r="F9" i="102" s="1"/>
  <c r="C9" i="102"/>
  <c r="H9" i="102"/>
  <c r="B9" i="102"/>
  <c r="H9" i="132"/>
  <c r="B9" i="132"/>
  <c r="H9" i="131"/>
  <c r="B9" i="131"/>
  <c r="H9" i="130"/>
  <c r="B9" i="130"/>
  <c r="E16" i="48"/>
  <c r="D16" i="48"/>
  <c r="C16" i="48"/>
  <c r="E15" i="48"/>
  <c r="D15" i="48"/>
  <c r="C15" i="48"/>
  <c r="E14" i="48"/>
  <c r="D14" i="48"/>
  <c r="C14" i="48"/>
  <c r="E13" i="48"/>
  <c r="D13" i="48"/>
  <c r="C13" i="48"/>
  <c r="E12" i="48"/>
  <c r="D12" i="48"/>
  <c r="C12" i="48"/>
  <c r="E11" i="48"/>
  <c r="D11" i="48"/>
  <c r="C11" i="48"/>
  <c r="E10" i="48"/>
  <c r="D10" i="48"/>
  <c r="C10" i="48"/>
  <c r="E9" i="48"/>
  <c r="D9" i="48"/>
  <c r="C9" i="48"/>
  <c r="E8" i="48"/>
  <c r="D8" i="48"/>
  <c r="C8" i="48"/>
  <c r="E14" i="47"/>
  <c r="D14" i="47"/>
  <c r="C14" i="47"/>
  <c r="E13" i="47"/>
  <c r="D13" i="47"/>
  <c r="C13" i="47"/>
  <c r="D12" i="47"/>
  <c r="C12" i="47"/>
  <c r="E11" i="47"/>
  <c r="D11" i="47"/>
  <c r="E10" i="47"/>
  <c r="D10" i="47"/>
  <c r="E9" i="47"/>
  <c r="D9" i="47"/>
  <c r="C9" i="47"/>
  <c r="E8" i="47"/>
  <c r="D8" i="47"/>
  <c r="C8" i="47"/>
  <c r="E16" i="46"/>
  <c r="D16" i="46"/>
  <c r="C16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8" i="46"/>
  <c r="D8" i="46"/>
  <c r="C8" i="46"/>
  <c r="E14" i="45"/>
  <c r="D14" i="45"/>
  <c r="C14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8" i="45"/>
  <c r="D8" i="45"/>
  <c r="C8" i="45"/>
  <c r="E16" i="44"/>
  <c r="D16" i="44"/>
  <c r="C16" i="44"/>
  <c r="E15" i="44"/>
  <c r="D15" i="44"/>
  <c r="C15" i="44"/>
  <c r="E14" i="44"/>
  <c r="D14" i="44"/>
  <c r="C14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8" i="44"/>
  <c r="D8" i="44"/>
  <c r="C8" i="44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U32" i="229"/>
  <c r="T32" i="229"/>
  <c r="N32" i="229"/>
  <c r="M32" i="229"/>
  <c r="G32" i="229"/>
  <c r="F32" i="229"/>
  <c r="U31" i="229"/>
  <c r="T31" i="229"/>
  <c r="N31" i="229"/>
  <c r="M31" i="229"/>
  <c r="G31" i="229"/>
  <c r="F31" i="229"/>
  <c r="U30" i="229"/>
  <c r="T30" i="229"/>
  <c r="N30" i="229"/>
  <c r="M30" i="229"/>
  <c r="G30" i="229"/>
  <c r="F30" i="229"/>
  <c r="U29" i="229"/>
  <c r="T29" i="229"/>
  <c r="N29" i="229"/>
  <c r="M29" i="229"/>
  <c r="G29" i="229"/>
  <c r="F29" i="229"/>
  <c r="U28" i="229"/>
  <c r="T28" i="229"/>
  <c r="N28" i="229"/>
  <c r="M28" i="229"/>
  <c r="G28" i="229"/>
  <c r="F28" i="229"/>
  <c r="U27" i="229"/>
  <c r="T27" i="229"/>
  <c r="N27" i="229"/>
  <c r="M27" i="229"/>
  <c r="G27" i="229"/>
  <c r="F27" i="229"/>
  <c r="U26" i="229"/>
  <c r="T26" i="229"/>
  <c r="N26" i="229"/>
  <c r="M26" i="229"/>
  <c r="G26" i="229"/>
  <c r="F26" i="229"/>
  <c r="U25" i="229"/>
  <c r="T25" i="229"/>
  <c r="N25" i="229"/>
  <c r="M25" i="229"/>
  <c r="G25" i="229"/>
  <c r="F25" i="229"/>
  <c r="U24" i="229"/>
  <c r="T24" i="229"/>
  <c r="N24" i="229"/>
  <c r="M24" i="229"/>
  <c r="G24" i="229"/>
  <c r="F24" i="229"/>
  <c r="U19" i="229"/>
  <c r="T19" i="229"/>
  <c r="N19" i="229"/>
  <c r="M19" i="229"/>
  <c r="G19" i="229"/>
  <c r="F19" i="229"/>
  <c r="U18" i="229"/>
  <c r="T18" i="229"/>
  <c r="N18" i="229"/>
  <c r="M18" i="229"/>
  <c r="G18" i="229"/>
  <c r="F18" i="229"/>
  <c r="U17" i="229"/>
  <c r="T17" i="229"/>
  <c r="N17" i="229"/>
  <c r="M17" i="229"/>
  <c r="G17" i="229"/>
  <c r="F17" i="229"/>
  <c r="U16" i="229"/>
  <c r="T16" i="229"/>
  <c r="N16" i="229"/>
  <c r="M16" i="229"/>
  <c r="G16" i="229"/>
  <c r="F16" i="229"/>
  <c r="U15" i="229"/>
  <c r="T15" i="229"/>
  <c r="N15" i="229"/>
  <c r="M15" i="229"/>
  <c r="G15" i="229"/>
  <c r="F15" i="229"/>
  <c r="U14" i="229"/>
  <c r="T14" i="229"/>
  <c r="N14" i="229"/>
  <c r="M14" i="229"/>
  <c r="G14" i="229"/>
  <c r="F14" i="229"/>
  <c r="U13" i="229"/>
  <c r="T13" i="229"/>
  <c r="N13" i="229"/>
  <c r="M13" i="229"/>
  <c r="G13" i="229"/>
  <c r="F13" i="229"/>
  <c r="U8" i="229"/>
  <c r="U37" i="229" s="1"/>
  <c r="T8" i="229"/>
  <c r="N8" i="229"/>
  <c r="N37" i="229" s="1"/>
  <c r="M8" i="229"/>
  <c r="G8" i="229"/>
  <c r="G37" i="229" s="1"/>
  <c r="F8" i="229"/>
  <c r="U7" i="229"/>
  <c r="T7" i="229"/>
  <c r="N7" i="229"/>
  <c r="I9" i="103" s="1"/>
  <c r="M7" i="229"/>
  <c r="G7" i="229"/>
  <c r="F7" i="229"/>
  <c r="U6" i="229"/>
  <c r="U39" i="229" s="1"/>
  <c r="T6" i="229"/>
  <c r="N6" i="229"/>
  <c r="N39" i="229" s="1"/>
  <c r="M6" i="229"/>
  <c r="G6" i="229"/>
  <c r="G39" i="229" s="1"/>
  <c r="F6" i="229"/>
  <c r="U5" i="229"/>
  <c r="J9" i="104" s="1"/>
  <c r="T5" i="229"/>
  <c r="N5" i="229"/>
  <c r="J9" i="103" s="1"/>
  <c r="M5" i="229"/>
  <c r="G5" i="229"/>
  <c r="J9" i="102" s="1"/>
  <c r="F5" i="229"/>
  <c r="F9" i="104" l="1"/>
  <c r="L9" i="104" s="1"/>
  <c r="U38" i="229"/>
  <c r="I9" i="104"/>
  <c r="K9" i="104" s="1"/>
  <c r="G38" i="229"/>
  <c r="I9" i="102"/>
  <c r="K9" i="102" s="1"/>
  <c r="L9" i="103"/>
  <c r="K9" i="103"/>
  <c r="L9" i="102"/>
  <c r="N38" i="229"/>
  <c r="E9" i="224"/>
  <c r="E9" i="154"/>
  <c r="D9" i="154"/>
  <c r="C9" i="154"/>
  <c r="E9" i="132"/>
  <c r="E9" i="131"/>
  <c r="D9" i="131"/>
  <c r="C9" i="131"/>
  <c r="D9" i="132"/>
  <c r="C9" i="132"/>
  <c r="D9" i="130"/>
  <c r="E16" i="116"/>
  <c r="D16" i="116"/>
  <c r="C16" i="116"/>
  <c r="E15" i="116"/>
  <c r="D15" i="116"/>
  <c r="C15" i="116"/>
  <c r="E14" i="116"/>
  <c r="D14" i="116"/>
  <c r="C14" i="116"/>
  <c r="D13" i="116"/>
  <c r="C13" i="116"/>
  <c r="D12" i="116"/>
  <c r="E11" i="116"/>
  <c r="D11" i="116"/>
  <c r="C11" i="116"/>
  <c r="E10" i="116"/>
  <c r="D10" i="116"/>
  <c r="C10" i="116"/>
  <c r="E9" i="116"/>
  <c r="D9" i="116"/>
  <c r="C9" i="116"/>
  <c r="E8" i="116"/>
  <c r="D8" i="116"/>
  <c r="C8" i="116"/>
  <c r="E14" i="115"/>
  <c r="D14" i="115"/>
  <c r="C14" i="115"/>
  <c r="E13" i="115"/>
  <c r="D13" i="115"/>
  <c r="C13" i="115"/>
  <c r="E12" i="115"/>
  <c r="D12" i="115"/>
  <c r="C12" i="115"/>
  <c r="E11" i="115"/>
  <c r="D11" i="115"/>
  <c r="C11" i="115"/>
  <c r="E10" i="115"/>
  <c r="D10" i="115"/>
  <c r="C10" i="115"/>
  <c r="E9" i="115"/>
  <c r="D9" i="115"/>
  <c r="C9" i="115"/>
  <c r="E8" i="115"/>
  <c r="D8" i="115"/>
  <c r="C8" i="115"/>
  <c r="E16" i="114"/>
  <c r="D16" i="114"/>
  <c r="C16" i="114"/>
  <c r="E15" i="114"/>
  <c r="D15" i="114"/>
  <c r="C15" i="114"/>
  <c r="E14" i="114"/>
  <c r="D14" i="114"/>
  <c r="C14" i="114"/>
  <c r="D13" i="114"/>
  <c r="C13" i="114"/>
  <c r="D12" i="114"/>
  <c r="D11" i="114"/>
  <c r="C11" i="114"/>
  <c r="E10" i="114"/>
  <c r="D10" i="114"/>
  <c r="C10" i="114"/>
  <c r="D9" i="114"/>
  <c r="C9" i="114"/>
  <c r="E8" i="114"/>
  <c r="D8" i="114"/>
  <c r="C8" i="114"/>
  <c r="E14" i="113"/>
  <c r="D14" i="113"/>
  <c r="C14" i="113"/>
  <c r="E13" i="113"/>
  <c r="D13" i="113"/>
  <c r="C13" i="113"/>
  <c r="E12" i="113"/>
  <c r="D12" i="113"/>
  <c r="C12" i="113"/>
  <c r="E11" i="113"/>
  <c r="D11" i="113"/>
  <c r="C11" i="113"/>
  <c r="E10" i="113"/>
  <c r="D10" i="113"/>
  <c r="C10" i="113"/>
  <c r="E9" i="113"/>
  <c r="D9" i="113"/>
  <c r="C9" i="113"/>
  <c r="E8" i="113"/>
  <c r="D8" i="113"/>
  <c r="E16" i="112"/>
  <c r="D16" i="112"/>
  <c r="C16" i="112"/>
  <c r="E15" i="112"/>
  <c r="D15" i="112"/>
  <c r="C15" i="112"/>
  <c r="E14" i="112"/>
  <c r="D14" i="112"/>
  <c r="C14" i="112"/>
  <c r="E13" i="112"/>
  <c r="D13" i="112"/>
  <c r="C13" i="112"/>
  <c r="D12" i="112"/>
  <c r="C12" i="112"/>
  <c r="E11" i="112"/>
  <c r="D11" i="112"/>
  <c r="C11" i="112"/>
  <c r="E10" i="112"/>
  <c r="D10" i="112"/>
  <c r="C10" i="112"/>
  <c r="E9" i="112"/>
  <c r="D9" i="112"/>
  <c r="C9" i="112"/>
  <c r="E8" i="112"/>
  <c r="D8" i="112"/>
  <c r="C8" i="112"/>
  <c r="E14" i="111"/>
  <c r="D14" i="111"/>
  <c r="C14" i="111"/>
  <c r="E13" i="111"/>
  <c r="D13" i="111"/>
  <c r="C13" i="111"/>
  <c r="E12" i="111"/>
  <c r="D12" i="111"/>
  <c r="C12" i="111"/>
  <c r="E11" i="111"/>
  <c r="D11" i="111"/>
  <c r="C11" i="111"/>
  <c r="E10" i="111"/>
  <c r="D10" i="111"/>
  <c r="C10" i="111"/>
  <c r="E9" i="111"/>
  <c r="D9" i="111"/>
  <c r="C9" i="111"/>
  <c r="E8" i="111"/>
  <c r="D8" i="111"/>
  <c r="C8" i="111"/>
  <c r="U32" i="227"/>
  <c r="T32" i="227"/>
  <c r="N32" i="227"/>
  <c r="M32" i="227"/>
  <c r="G32" i="227"/>
  <c r="F32" i="227"/>
  <c r="U31" i="227"/>
  <c r="T31" i="227"/>
  <c r="N31" i="227"/>
  <c r="M31" i="227"/>
  <c r="G31" i="227"/>
  <c r="F31" i="227"/>
  <c r="U30" i="227"/>
  <c r="T30" i="227"/>
  <c r="N30" i="227"/>
  <c r="M30" i="227"/>
  <c r="G30" i="227"/>
  <c r="F30" i="227"/>
  <c r="U29" i="227"/>
  <c r="T29" i="227"/>
  <c r="N29" i="227"/>
  <c r="M29" i="227"/>
  <c r="G29" i="227"/>
  <c r="F29" i="227"/>
  <c r="U28" i="227"/>
  <c r="T28" i="227"/>
  <c r="N28" i="227"/>
  <c r="M28" i="227"/>
  <c r="G28" i="227"/>
  <c r="F28" i="227"/>
  <c r="U27" i="227"/>
  <c r="T27" i="227"/>
  <c r="N27" i="227"/>
  <c r="M27" i="227"/>
  <c r="G27" i="227"/>
  <c r="F27" i="227"/>
  <c r="U26" i="227"/>
  <c r="T26" i="227"/>
  <c r="N26" i="227"/>
  <c r="M26" i="227"/>
  <c r="G26" i="227"/>
  <c r="F26" i="227"/>
  <c r="U25" i="227"/>
  <c r="T25" i="227"/>
  <c r="N25" i="227"/>
  <c r="M25" i="227"/>
  <c r="G25" i="227"/>
  <c r="F25" i="227"/>
  <c r="U24" i="227"/>
  <c r="T24" i="227"/>
  <c r="N24" i="227"/>
  <c r="M24" i="227"/>
  <c r="G24" i="227"/>
  <c r="F24" i="227"/>
  <c r="U19" i="227"/>
  <c r="T19" i="227"/>
  <c r="N19" i="227"/>
  <c r="M19" i="227"/>
  <c r="G19" i="227"/>
  <c r="F19" i="227"/>
  <c r="U18" i="227"/>
  <c r="T18" i="227"/>
  <c r="N18" i="227"/>
  <c r="M18" i="227"/>
  <c r="G18" i="227"/>
  <c r="F18" i="227"/>
  <c r="U17" i="227"/>
  <c r="T17" i="227"/>
  <c r="N17" i="227"/>
  <c r="M17" i="227"/>
  <c r="G17" i="227"/>
  <c r="F17" i="227"/>
  <c r="U16" i="227"/>
  <c r="T16" i="227"/>
  <c r="N16" i="227"/>
  <c r="M16" i="227"/>
  <c r="G16" i="227"/>
  <c r="F16" i="227"/>
  <c r="U15" i="227"/>
  <c r="T15" i="227"/>
  <c r="N15" i="227"/>
  <c r="M15" i="227"/>
  <c r="G15" i="227"/>
  <c r="F15" i="227"/>
  <c r="U14" i="227"/>
  <c r="T14" i="227"/>
  <c r="N14" i="227"/>
  <c r="M14" i="227"/>
  <c r="G14" i="227"/>
  <c r="F14" i="227"/>
  <c r="U13" i="227"/>
  <c r="T13" i="227"/>
  <c r="N13" i="227"/>
  <c r="M13" i="227"/>
  <c r="G13" i="227"/>
  <c r="F13" i="227"/>
  <c r="U8" i="227"/>
  <c r="U37" i="227" s="1"/>
  <c r="T8" i="227"/>
  <c r="N8" i="227"/>
  <c r="N37" i="227" s="1"/>
  <c r="M8" i="227"/>
  <c r="G8" i="227"/>
  <c r="G37" i="227" s="1"/>
  <c r="F8" i="227"/>
  <c r="U7" i="227"/>
  <c r="T7" i="227"/>
  <c r="N7" i="227"/>
  <c r="I9" i="131" s="1"/>
  <c r="M7" i="227"/>
  <c r="G7" i="227"/>
  <c r="G38" i="227" s="1"/>
  <c r="F7" i="227"/>
  <c r="U6" i="227"/>
  <c r="U39" i="227" s="1"/>
  <c r="T6" i="227"/>
  <c r="N6" i="227"/>
  <c r="N39" i="227" s="1"/>
  <c r="M6" i="227"/>
  <c r="G6" i="227"/>
  <c r="G39" i="227" s="1"/>
  <c r="F6" i="227"/>
  <c r="U5" i="227"/>
  <c r="J9" i="132" s="1"/>
  <c r="T5" i="227"/>
  <c r="N5" i="227"/>
  <c r="J9" i="131" s="1"/>
  <c r="M5" i="227"/>
  <c r="G5" i="227"/>
  <c r="J9" i="130" s="1"/>
  <c r="F5" i="227"/>
  <c r="B9" i="224"/>
  <c r="H9" i="224"/>
  <c r="H9" i="223"/>
  <c r="B9" i="223"/>
  <c r="H9" i="222"/>
  <c r="B9" i="222"/>
  <c r="B9" i="153"/>
  <c r="H9" i="153"/>
  <c r="B9" i="154"/>
  <c r="H9" i="154"/>
  <c r="H9" i="155"/>
  <c r="B9" i="155"/>
  <c r="D9" i="155"/>
  <c r="C9" i="155"/>
  <c r="E17" i="139"/>
  <c r="D17" i="139"/>
  <c r="C17" i="139"/>
  <c r="E16" i="139"/>
  <c r="D16" i="139"/>
  <c r="C16" i="139"/>
  <c r="E15" i="139"/>
  <c r="D15" i="139"/>
  <c r="C15" i="139"/>
  <c r="E14" i="139"/>
  <c r="D14" i="139"/>
  <c r="C14" i="139"/>
  <c r="E13" i="139"/>
  <c r="D13" i="139"/>
  <c r="C13" i="139"/>
  <c r="E12" i="139"/>
  <c r="D12" i="139"/>
  <c r="C12" i="139"/>
  <c r="E11" i="139"/>
  <c r="D11" i="139"/>
  <c r="C11" i="139"/>
  <c r="D10" i="139"/>
  <c r="C10" i="139"/>
  <c r="E9" i="139"/>
  <c r="D9" i="139"/>
  <c r="C9" i="139"/>
  <c r="E8" i="139"/>
  <c r="D8" i="139"/>
  <c r="C8" i="139"/>
  <c r="E15" i="138"/>
  <c r="D15" i="138"/>
  <c r="C15" i="138"/>
  <c r="E14" i="138"/>
  <c r="D14" i="138"/>
  <c r="C14" i="138"/>
  <c r="E13" i="138"/>
  <c r="D13" i="138"/>
  <c r="C13" i="138"/>
  <c r="E12" i="138"/>
  <c r="D12" i="138"/>
  <c r="C12" i="138"/>
  <c r="E11" i="138"/>
  <c r="D11" i="138"/>
  <c r="C11" i="138"/>
  <c r="E10" i="138"/>
  <c r="D10" i="138"/>
  <c r="C10" i="138"/>
  <c r="E9" i="138"/>
  <c r="D9" i="138"/>
  <c r="C9" i="138"/>
  <c r="E8" i="138"/>
  <c r="D8" i="138"/>
  <c r="C8" i="138"/>
  <c r="E17" i="137"/>
  <c r="D17" i="137"/>
  <c r="C17" i="137"/>
  <c r="E16" i="137"/>
  <c r="D16" i="137"/>
  <c r="C16" i="137"/>
  <c r="E15" i="137"/>
  <c r="D15" i="137"/>
  <c r="C15" i="137"/>
  <c r="E14" i="137"/>
  <c r="D14" i="137"/>
  <c r="C14" i="137"/>
  <c r="E13" i="137"/>
  <c r="D13" i="137"/>
  <c r="C13" i="137"/>
  <c r="E12" i="137"/>
  <c r="D12" i="137"/>
  <c r="C12" i="137"/>
  <c r="E11" i="137"/>
  <c r="D11" i="137"/>
  <c r="C11" i="137"/>
  <c r="E10" i="137"/>
  <c r="D10" i="137"/>
  <c r="C10" i="137"/>
  <c r="E9" i="137"/>
  <c r="D9" i="137"/>
  <c r="C9" i="137"/>
  <c r="E8" i="137"/>
  <c r="D8" i="137"/>
  <c r="C8" i="137"/>
  <c r="E15" i="136"/>
  <c r="D15" i="136"/>
  <c r="C15" i="136"/>
  <c r="E14" i="136"/>
  <c r="D14" i="136"/>
  <c r="C14" i="136"/>
  <c r="E13" i="136"/>
  <c r="D13" i="136"/>
  <c r="C13" i="136"/>
  <c r="E12" i="136"/>
  <c r="D12" i="136"/>
  <c r="C12" i="136"/>
  <c r="E11" i="136"/>
  <c r="D11" i="136"/>
  <c r="C11" i="136"/>
  <c r="E10" i="136"/>
  <c r="D10" i="136"/>
  <c r="C10" i="136"/>
  <c r="E9" i="136"/>
  <c r="D9" i="136"/>
  <c r="C9" i="136"/>
  <c r="E8" i="136"/>
  <c r="D8" i="136"/>
  <c r="C8" i="136"/>
  <c r="E17" i="135"/>
  <c r="E16" i="135"/>
  <c r="D16" i="135"/>
  <c r="C16" i="135"/>
  <c r="E15" i="135"/>
  <c r="D15" i="135"/>
  <c r="C15" i="135"/>
  <c r="E14" i="135"/>
  <c r="D14" i="135"/>
  <c r="C14" i="135"/>
  <c r="E13" i="135"/>
  <c r="D13" i="135"/>
  <c r="C13" i="135"/>
  <c r="E12" i="135"/>
  <c r="D12" i="135"/>
  <c r="C12" i="135"/>
  <c r="E11" i="135"/>
  <c r="D11" i="135"/>
  <c r="C11" i="135"/>
  <c r="E10" i="135"/>
  <c r="D10" i="135"/>
  <c r="C10" i="135"/>
  <c r="E9" i="135"/>
  <c r="D9" i="135"/>
  <c r="C9" i="135"/>
  <c r="E8" i="135"/>
  <c r="D8" i="135"/>
  <c r="C8" i="135"/>
  <c r="E15" i="134"/>
  <c r="E14" i="134"/>
  <c r="D14" i="134"/>
  <c r="C14" i="134"/>
  <c r="E13" i="134"/>
  <c r="D13" i="134"/>
  <c r="C13" i="134"/>
  <c r="E12" i="134"/>
  <c r="D12" i="134"/>
  <c r="C12" i="134"/>
  <c r="E11" i="134"/>
  <c r="D11" i="134"/>
  <c r="C11" i="134"/>
  <c r="E10" i="134"/>
  <c r="D10" i="134"/>
  <c r="C10" i="134"/>
  <c r="E9" i="134"/>
  <c r="D9" i="134"/>
  <c r="C9" i="134"/>
  <c r="E8" i="134"/>
  <c r="D8" i="134"/>
  <c r="C8" i="134"/>
  <c r="U32" i="225"/>
  <c r="T32" i="225"/>
  <c r="N32" i="225"/>
  <c r="M32" i="225"/>
  <c r="G32" i="225"/>
  <c r="F32" i="225"/>
  <c r="U31" i="225"/>
  <c r="T31" i="225"/>
  <c r="N31" i="225"/>
  <c r="M31" i="225"/>
  <c r="G31" i="225"/>
  <c r="F31" i="225"/>
  <c r="U30" i="225"/>
  <c r="T30" i="225"/>
  <c r="N30" i="225"/>
  <c r="M30" i="225"/>
  <c r="G30" i="225"/>
  <c r="F30" i="225"/>
  <c r="U29" i="225"/>
  <c r="T29" i="225"/>
  <c r="N29" i="225"/>
  <c r="M29" i="225"/>
  <c r="G29" i="225"/>
  <c r="F29" i="225"/>
  <c r="U28" i="225"/>
  <c r="T28" i="225"/>
  <c r="N28" i="225"/>
  <c r="M28" i="225"/>
  <c r="G28" i="225"/>
  <c r="F28" i="225"/>
  <c r="U27" i="225"/>
  <c r="T27" i="225"/>
  <c r="N27" i="225"/>
  <c r="M27" i="225"/>
  <c r="G27" i="225"/>
  <c r="F27" i="225"/>
  <c r="U26" i="225"/>
  <c r="T26" i="225"/>
  <c r="N26" i="225"/>
  <c r="M26" i="225"/>
  <c r="G26" i="225"/>
  <c r="F26" i="225"/>
  <c r="U25" i="225"/>
  <c r="T25" i="225"/>
  <c r="N25" i="225"/>
  <c r="M25" i="225"/>
  <c r="G25" i="225"/>
  <c r="F25" i="225"/>
  <c r="U24" i="225"/>
  <c r="T24" i="225"/>
  <c r="N24" i="225"/>
  <c r="M24" i="225"/>
  <c r="G24" i="225"/>
  <c r="F24" i="225"/>
  <c r="U19" i="225"/>
  <c r="T19" i="225"/>
  <c r="N19" i="225"/>
  <c r="M19" i="225"/>
  <c r="G19" i="225"/>
  <c r="F19" i="225"/>
  <c r="U18" i="225"/>
  <c r="T18" i="225"/>
  <c r="N18" i="225"/>
  <c r="M18" i="225"/>
  <c r="G18" i="225"/>
  <c r="F18" i="225"/>
  <c r="U17" i="225"/>
  <c r="T17" i="225"/>
  <c r="N17" i="225"/>
  <c r="M17" i="225"/>
  <c r="G17" i="225"/>
  <c r="F17" i="225"/>
  <c r="U16" i="225"/>
  <c r="T16" i="225"/>
  <c r="N16" i="225"/>
  <c r="M16" i="225"/>
  <c r="G16" i="225"/>
  <c r="F16" i="225"/>
  <c r="U15" i="225"/>
  <c r="T15" i="225"/>
  <c r="N15" i="225"/>
  <c r="M15" i="225"/>
  <c r="G15" i="225"/>
  <c r="F15" i="225"/>
  <c r="U14" i="225"/>
  <c r="T14" i="225"/>
  <c r="N14" i="225"/>
  <c r="M14" i="225"/>
  <c r="G14" i="225"/>
  <c r="F14" i="225"/>
  <c r="U13" i="225"/>
  <c r="T13" i="225"/>
  <c r="N13" i="225"/>
  <c r="M13" i="225"/>
  <c r="G13" i="225"/>
  <c r="F13" i="225"/>
  <c r="U8" i="225"/>
  <c r="T8" i="225"/>
  <c r="N8" i="225"/>
  <c r="N37" i="225" s="1"/>
  <c r="M8" i="225"/>
  <c r="G37" i="225"/>
  <c r="F8" i="225"/>
  <c r="U7" i="225"/>
  <c r="I9" i="155" s="1"/>
  <c r="T7" i="225"/>
  <c r="N7" i="225"/>
  <c r="I9" i="154" s="1"/>
  <c r="M7" i="225"/>
  <c r="I9" i="153"/>
  <c r="F7" i="225"/>
  <c r="U6" i="225"/>
  <c r="U39" i="225" s="1"/>
  <c r="T6" i="225"/>
  <c r="N6" i="225"/>
  <c r="N39" i="225" s="1"/>
  <c r="M6" i="225"/>
  <c r="G39" i="225"/>
  <c r="F6" i="225"/>
  <c r="U5" i="225"/>
  <c r="J9" i="155" s="1"/>
  <c r="T5" i="225"/>
  <c r="N5" i="225"/>
  <c r="J9" i="154" s="1"/>
  <c r="M5" i="225"/>
  <c r="J9" i="153"/>
  <c r="F5" i="225"/>
  <c r="D9" i="224"/>
  <c r="C9" i="224"/>
  <c r="E9" i="223"/>
  <c r="D9" i="223"/>
  <c r="F9" i="223" s="1"/>
  <c r="E9" i="222"/>
  <c r="D9" i="222"/>
  <c r="C9" i="222"/>
  <c r="C16" i="210"/>
  <c r="C15" i="210"/>
  <c r="C14" i="210"/>
  <c r="C13" i="210"/>
  <c r="C12" i="210"/>
  <c r="C11" i="210"/>
  <c r="C10" i="210"/>
  <c r="C9" i="210"/>
  <c r="C8" i="210"/>
  <c r="D16" i="210"/>
  <c r="D15" i="210"/>
  <c r="F15" i="210" s="1"/>
  <c r="D14" i="210"/>
  <c r="D13" i="210"/>
  <c r="D12" i="210"/>
  <c r="D11" i="210"/>
  <c r="D10" i="210"/>
  <c r="D9" i="210"/>
  <c r="D8" i="210"/>
  <c r="E16" i="210"/>
  <c r="E15" i="210"/>
  <c r="E14" i="210"/>
  <c r="E13" i="210"/>
  <c r="E12" i="210"/>
  <c r="E11" i="210"/>
  <c r="E10" i="210"/>
  <c r="E9" i="210"/>
  <c r="E8" i="210"/>
  <c r="E14" i="209"/>
  <c r="E13" i="209"/>
  <c r="E12" i="209"/>
  <c r="E11" i="209"/>
  <c r="E10" i="209"/>
  <c r="E9" i="209"/>
  <c r="E8" i="209"/>
  <c r="D14" i="209"/>
  <c r="D13" i="209"/>
  <c r="D12" i="209"/>
  <c r="D11" i="209"/>
  <c r="D10" i="209"/>
  <c r="D9" i="209"/>
  <c r="D8" i="209"/>
  <c r="C14" i="209"/>
  <c r="C13" i="209"/>
  <c r="C12" i="209"/>
  <c r="C11" i="209"/>
  <c r="C10" i="209"/>
  <c r="C9" i="209"/>
  <c r="C8" i="209"/>
  <c r="C16" i="208"/>
  <c r="C15" i="208"/>
  <c r="F15" i="208" s="1"/>
  <c r="C14" i="208"/>
  <c r="C13" i="208"/>
  <c r="C12" i="208"/>
  <c r="C11" i="208"/>
  <c r="F11" i="208" s="1"/>
  <c r="C10" i="208"/>
  <c r="C9" i="208"/>
  <c r="C8" i="208"/>
  <c r="D16" i="208"/>
  <c r="D15" i="208"/>
  <c r="D14" i="208"/>
  <c r="D13" i="208"/>
  <c r="D12" i="208"/>
  <c r="D11" i="208"/>
  <c r="D10" i="208"/>
  <c r="D9" i="208"/>
  <c r="D8" i="208"/>
  <c r="E16" i="208"/>
  <c r="E15" i="208"/>
  <c r="E14" i="208"/>
  <c r="E13" i="208"/>
  <c r="E12" i="208"/>
  <c r="E11" i="208"/>
  <c r="E10" i="208"/>
  <c r="E9" i="208"/>
  <c r="E8" i="208"/>
  <c r="F10" i="208"/>
  <c r="E14" i="207"/>
  <c r="E13" i="207"/>
  <c r="E12" i="207"/>
  <c r="E11" i="207"/>
  <c r="E10" i="207"/>
  <c r="E9" i="207"/>
  <c r="E8" i="207"/>
  <c r="D14" i="207"/>
  <c r="D13" i="207"/>
  <c r="D12" i="207"/>
  <c r="D11" i="207"/>
  <c r="D10" i="207"/>
  <c r="D9" i="207"/>
  <c r="D8" i="207"/>
  <c r="C14" i="207"/>
  <c r="C13" i="207"/>
  <c r="C12" i="207"/>
  <c r="C11" i="207"/>
  <c r="C10" i="207"/>
  <c r="C9" i="207"/>
  <c r="C8" i="207"/>
  <c r="C16" i="206"/>
  <c r="F16" i="206" s="1"/>
  <c r="C15" i="206"/>
  <c r="C14" i="206"/>
  <c r="F14" i="206" s="1"/>
  <c r="C13" i="206"/>
  <c r="C12" i="206"/>
  <c r="F12" i="206" s="1"/>
  <c r="C11" i="206"/>
  <c r="C10" i="206"/>
  <c r="F10" i="206" s="1"/>
  <c r="C9" i="206"/>
  <c r="C8" i="206"/>
  <c r="F8" i="206" s="1"/>
  <c r="D16" i="206"/>
  <c r="D15" i="206"/>
  <c r="D14" i="206"/>
  <c r="D13" i="206"/>
  <c r="D12" i="206"/>
  <c r="D11" i="206"/>
  <c r="D10" i="206"/>
  <c r="D9" i="206"/>
  <c r="D8" i="206"/>
  <c r="E16" i="206"/>
  <c r="E15" i="206"/>
  <c r="E14" i="206"/>
  <c r="E13" i="206"/>
  <c r="E12" i="206"/>
  <c r="E11" i="206"/>
  <c r="E10" i="206"/>
  <c r="E9" i="206"/>
  <c r="E8" i="206"/>
  <c r="E17" i="210"/>
  <c r="D17" i="210"/>
  <c r="C17" i="210"/>
  <c r="E15" i="209"/>
  <c r="D15" i="209"/>
  <c r="C15" i="209"/>
  <c r="E17" i="208"/>
  <c r="D17" i="208"/>
  <c r="F17" i="208" s="1"/>
  <c r="C17" i="208"/>
  <c r="E15" i="207"/>
  <c r="D15" i="207"/>
  <c r="C15" i="207"/>
  <c r="E17" i="206"/>
  <c r="D17" i="206"/>
  <c r="F17" i="206" s="1"/>
  <c r="C17" i="206"/>
  <c r="E15" i="205"/>
  <c r="E14" i="205"/>
  <c r="E13" i="205"/>
  <c r="E12" i="205"/>
  <c r="E11" i="205"/>
  <c r="E10" i="205"/>
  <c r="E9" i="205"/>
  <c r="E8" i="205"/>
  <c r="D15" i="205"/>
  <c r="D14" i="205"/>
  <c r="D13" i="205"/>
  <c r="D12" i="205"/>
  <c r="D11" i="205"/>
  <c r="D10" i="205"/>
  <c r="D9" i="205"/>
  <c r="D8" i="205"/>
  <c r="C15" i="205"/>
  <c r="C14" i="205"/>
  <c r="C13" i="205"/>
  <c r="C12" i="205"/>
  <c r="C11" i="205"/>
  <c r="C10" i="205"/>
  <c r="C9" i="205"/>
  <c r="F9" i="205" s="1"/>
  <c r="C8" i="205"/>
  <c r="F8" i="205" s="1"/>
  <c r="U32" i="211"/>
  <c r="T32" i="211"/>
  <c r="U31" i="211"/>
  <c r="T31" i="211"/>
  <c r="U30" i="211"/>
  <c r="T30" i="211"/>
  <c r="U29" i="211"/>
  <c r="T29" i="211"/>
  <c r="U28" i="211"/>
  <c r="T28" i="211"/>
  <c r="U27" i="211"/>
  <c r="T27" i="211"/>
  <c r="U26" i="211"/>
  <c r="T26" i="211"/>
  <c r="U25" i="211"/>
  <c r="T25" i="211"/>
  <c r="U24" i="211"/>
  <c r="T24" i="211"/>
  <c r="N32" i="211"/>
  <c r="M32" i="211"/>
  <c r="N31" i="211"/>
  <c r="M31" i="211"/>
  <c r="N30" i="211"/>
  <c r="M30" i="211"/>
  <c r="N29" i="211"/>
  <c r="M29" i="211"/>
  <c r="N28" i="211"/>
  <c r="M28" i="211"/>
  <c r="N27" i="211"/>
  <c r="M27" i="211"/>
  <c r="N26" i="211"/>
  <c r="M26" i="211"/>
  <c r="N25" i="211"/>
  <c r="M25" i="211"/>
  <c r="N24" i="211"/>
  <c r="M24" i="211"/>
  <c r="U19" i="211"/>
  <c r="T19" i="211"/>
  <c r="U18" i="211"/>
  <c r="T18" i="211"/>
  <c r="U17" i="211"/>
  <c r="T17" i="211"/>
  <c r="U16" i="211"/>
  <c r="T16" i="211"/>
  <c r="U15" i="211"/>
  <c r="T15" i="211"/>
  <c r="U14" i="211"/>
  <c r="T14" i="211"/>
  <c r="U13" i="211"/>
  <c r="T13" i="211"/>
  <c r="N19" i="211"/>
  <c r="M19" i="211"/>
  <c r="N18" i="211"/>
  <c r="M18" i="211"/>
  <c r="N17" i="211"/>
  <c r="M17" i="211"/>
  <c r="N16" i="211"/>
  <c r="M16" i="211"/>
  <c r="N15" i="211"/>
  <c r="M15" i="211"/>
  <c r="N14" i="211"/>
  <c r="M14" i="211"/>
  <c r="N13" i="211"/>
  <c r="M13" i="211"/>
  <c r="G32" i="211"/>
  <c r="F32" i="211"/>
  <c r="G31" i="211"/>
  <c r="F31" i="211"/>
  <c r="G30" i="211"/>
  <c r="F30" i="211"/>
  <c r="G29" i="211"/>
  <c r="F29" i="211"/>
  <c r="G28" i="211"/>
  <c r="F28" i="211"/>
  <c r="G27" i="211"/>
  <c r="F27" i="211"/>
  <c r="G26" i="211"/>
  <c r="F26" i="211"/>
  <c r="G25" i="211"/>
  <c r="F25" i="211"/>
  <c r="G24" i="211"/>
  <c r="F24" i="211"/>
  <c r="G19" i="211"/>
  <c r="F19" i="211"/>
  <c r="G18" i="211"/>
  <c r="F18" i="211"/>
  <c r="G17" i="211"/>
  <c r="F17" i="211"/>
  <c r="G16" i="211"/>
  <c r="F16" i="211"/>
  <c r="G15" i="211"/>
  <c r="F15" i="211"/>
  <c r="G14" i="211"/>
  <c r="F14" i="211"/>
  <c r="G13" i="211"/>
  <c r="F13" i="211"/>
  <c r="T5" i="211"/>
  <c r="U8" i="211"/>
  <c r="U37" i="211" s="1"/>
  <c r="T8" i="211"/>
  <c r="U7" i="211"/>
  <c r="U39" i="211" s="1"/>
  <c r="T7" i="211"/>
  <c r="U6" i="211"/>
  <c r="T6" i="211"/>
  <c r="U5" i="211"/>
  <c r="J9" i="224" s="1"/>
  <c r="N8" i="211"/>
  <c r="N37" i="211" s="1"/>
  <c r="M8" i="211"/>
  <c r="N7" i="211"/>
  <c r="N39" i="211" s="1"/>
  <c r="M7" i="211"/>
  <c r="N6" i="211"/>
  <c r="M6" i="211"/>
  <c r="N5" i="211"/>
  <c r="J9" i="223" s="1"/>
  <c r="M5" i="211"/>
  <c r="G8" i="211"/>
  <c r="G37" i="211" s="1"/>
  <c r="F8" i="211"/>
  <c r="G7" i="211"/>
  <c r="G39" i="211" s="1"/>
  <c r="F7" i="211"/>
  <c r="G6" i="211"/>
  <c r="I9" i="222" s="1"/>
  <c r="F6" i="211"/>
  <c r="G5" i="211"/>
  <c r="J9" i="222" s="1"/>
  <c r="F5" i="211"/>
  <c r="F17" i="210"/>
  <c r="E170" i="1"/>
  <c r="E169" i="1"/>
  <c r="E168" i="1"/>
  <c r="E167" i="1"/>
  <c r="E166" i="1"/>
  <c r="E165" i="1"/>
  <c r="C170" i="1"/>
  <c r="C169" i="1"/>
  <c r="C168" i="1"/>
  <c r="C167" i="1"/>
  <c r="C166" i="1"/>
  <c r="C165" i="1"/>
  <c r="F8" i="210"/>
  <c r="B7" i="210"/>
  <c r="B7" i="209"/>
  <c r="F13" i="208"/>
  <c r="F9" i="208"/>
  <c r="B7" i="208"/>
  <c r="B7" i="207"/>
  <c r="F15" i="206"/>
  <c r="F13" i="206"/>
  <c r="F11" i="206"/>
  <c r="F9" i="206"/>
  <c r="B7" i="206"/>
  <c r="B7" i="205"/>
  <c r="B7" i="9"/>
  <c r="F8" i="208" l="1"/>
  <c r="F12" i="208"/>
  <c r="F16" i="210"/>
  <c r="F9" i="210"/>
  <c r="F13" i="205"/>
  <c r="F8" i="207"/>
  <c r="F12" i="207"/>
  <c r="F13" i="209"/>
  <c r="F10" i="205"/>
  <c r="F11" i="207"/>
  <c r="F10" i="209"/>
  <c r="F11" i="210"/>
  <c r="F13" i="210"/>
  <c r="F14" i="208"/>
  <c r="F16" i="208"/>
  <c r="F9" i="209"/>
  <c r="F11" i="209"/>
  <c r="F9" i="207"/>
  <c r="F13" i="207"/>
  <c r="N38" i="211"/>
  <c r="U38" i="211"/>
  <c r="U38" i="227"/>
  <c r="F12" i="205"/>
  <c r="F14" i="205"/>
  <c r="F14" i="209"/>
  <c r="F12" i="210"/>
  <c r="F11" i="205"/>
  <c r="I9" i="224"/>
  <c r="I9" i="223"/>
  <c r="K9" i="223" s="1"/>
  <c r="F15" i="205"/>
  <c r="U38" i="225"/>
  <c r="G38" i="225"/>
  <c r="I9" i="132"/>
  <c r="I9" i="130"/>
  <c r="N38" i="227"/>
  <c r="U37" i="225"/>
  <c r="N38" i="225"/>
  <c r="F9" i="224"/>
  <c r="L9" i="223"/>
  <c r="F9" i="222"/>
  <c r="L9" i="222" s="1"/>
  <c r="F10" i="210"/>
  <c r="F14" i="210"/>
  <c r="F8" i="209"/>
  <c r="F12" i="209"/>
  <c r="F10" i="207"/>
  <c r="F14" i="207"/>
  <c r="F15" i="209"/>
  <c r="F15" i="207"/>
  <c r="G38" i="211"/>
  <c r="K9" i="224" l="1"/>
  <c r="L9" i="224"/>
  <c r="K9" i="222"/>
  <c r="H86" i="202"/>
  <c r="G86" i="202"/>
  <c r="H85" i="202"/>
  <c r="G85" i="202"/>
  <c r="H84" i="202"/>
  <c r="G84" i="202"/>
  <c r="H83" i="202"/>
  <c r="G83" i="202"/>
  <c r="H82" i="202"/>
  <c r="G82" i="202"/>
  <c r="H81" i="202"/>
  <c r="G81" i="202"/>
  <c r="H80" i="202"/>
  <c r="G80" i="202"/>
  <c r="H79" i="202"/>
  <c r="G79" i="202"/>
  <c r="H78" i="202"/>
  <c r="G78" i="202"/>
  <c r="H76" i="202"/>
  <c r="G76" i="202"/>
  <c r="H75" i="202"/>
  <c r="G75" i="202"/>
  <c r="H74" i="202"/>
  <c r="G74" i="202"/>
  <c r="H73" i="202"/>
  <c r="G73" i="202"/>
  <c r="H72" i="202"/>
  <c r="G72" i="202"/>
  <c r="H71" i="202"/>
  <c r="G71" i="202"/>
  <c r="H70" i="202"/>
  <c r="G70" i="202"/>
  <c r="H69" i="202"/>
  <c r="G69" i="202"/>
  <c r="H68" i="202"/>
  <c r="G68" i="202"/>
  <c r="H66" i="202"/>
  <c r="G66" i="202"/>
  <c r="H65" i="202"/>
  <c r="G65" i="202"/>
  <c r="H64" i="202"/>
  <c r="G64" i="202"/>
  <c r="H63" i="202"/>
  <c r="G63" i="202"/>
  <c r="H62" i="202"/>
  <c r="G62" i="202"/>
  <c r="H61" i="202"/>
  <c r="G61" i="202"/>
  <c r="H60" i="202"/>
  <c r="G60" i="202"/>
  <c r="H59" i="202"/>
  <c r="G59" i="202"/>
  <c r="H58" i="202"/>
  <c r="G58" i="202"/>
  <c r="H53" i="202"/>
  <c r="G53" i="202"/>
  <c r="H52" i="202"/>
  <c r="G52" i="202"/>
  <c r="H51" i="202"/>
  <c r="G51" i="202"/>
  <c r="H50" i="202"/>
  <c r="G50" i="202"/>
  <c r="H49" i="202"/>
  <c r="G49" i="202"/>
  <c r="H48" i="202"/>
  <c r="G48" i="202"/>
  <c r="H47" i="202"/>
  <c r="G47" i="202"/>
  <c r="H45" i="202"/>
  <c r="G45" i="202"/>
  <c r="H44" i="202"/>
  <c r="G44" i="202"/>
  <c r="H43" i="202"/>
  <c r="G43" i="202"/>
  <c r="H42" i="202"/>
  <c r="G42" i="202"/>
  <c r="H41" i="202"/>
  <c r="G41" i="202"/>
  <c r="H40" i="202"/>
  <c r="G40" i="202"/>
  <c r="H39" i="202"/>
  <c r="G39" i="202"/>
  <c r="H37" i="202"/>
  <c r="G37" i="202"/>
  <c r="H36" i="202"/>
  <c r="G36" i="202"/>
  <c r="H35" i="202"/>
  <c r="G35" i="202"/>
  <c r="H34" i="202"/>
  <c r="G34" i="202"/>
  <c r="H33" i="202"/>
  <c r="G33" i="202"/>
  <c r="H32" i="202"/>
  <c r="G32" i="202"/>
  <c r="H31" i="202"/>
  <c r="G31" i="202"/>
  <c r="H26" i="202"/>
  <c r="G26" i="202"/>
  <c r="H25" i="202"/>
  <c r="G25" i="202"/>
  <c r="H24" i="202"/>
  <c r="G24" i="202"/>
  <c r="H23" i="202"/>
  <c r="G23" i="202"/>
  <c r="H22" i="202"/>
  <c r="G22" i="202"/>
  <c r="H21" i="202"/>
  <c r="G21" i="202"/>
  <c r="H20" i="202"/>
  <c r="G20" i="202"/>
  <c r="H19" i="202"/>
  <c r="G19" i="202"/>
  <c r="H18" i="202"/>
  <c r="G18" i="202"/>
  <c r="H17" i="202"/>
  <c r="G17" i="202"/>
  <c r="H16" i="202"/>
  <c r="G16" i="202"/>
  <c r="H15" i="202"/>
  <c r="G15" i="202"/>
  <c r="H14" i="202"/>
  <c r="G14" i="202"/>
  <c r="H13" i="202"/>
  <c r="G13" i="202"/>
  <c r="H12" i="202"/>
  <c r="G12" i="202"/>
  <c r="H11" i="202"/>
  <c r="G11" i="202"/>
  <c r="H10" i="202"/>
  <c r="G10" i="202"/>
  <c r="H9" i="202"/>
  <c r="G9" i="202"/>
  <c r="H8" i="202"/>
  <c r="G8" i="202"/>
  <c r="H7" i="202"/>
  <c r="G7" i="202"/>
  <c r="H6" i="202"/>
  <c r="G6" i="202"/>
  <c r="H5" i="202"/>
  <c r="G5" i="202"/>
  <c r="H86" i="201"/>
  <c r="H85" i="201"/>
  <c r="H84" i="201"/>
  <c r="H83" i="201"/>
  <c r="H82" i="201"/>
  <c r="H81" i="201"/>
  <c r="H80" i="201"/>
  <c r="H79" i="201"/>
  <c r="H78" i="201"/>
  <c r="H76" i="201"/>
  <c r="H75" i="201"/>
  <c r="H74" i="201"/>
  <c r="H73" i="201"/>
  <c r="H72" i="201"/>
  <c r="H71" i="201"/>
  <c r="H70" i="201"/>
  <c r="H69" i="201"/>
  <c r="H68" i="201"/>
  <c r="H66" i="201"/>
  <c r="H65" i="201"/>
  <c r="H64" i="201"/>
  <c r="H63" i="201"/>
  <c r="H62" i="201"/>
  <c r="H61" i="201"/>
  <c r="H60" i="201"/>
  <c r="H59" i="201"/>
  <c r="H58" i="201"/>
  <c r="H53" i="201"/>
  <c r="H52" i="201"/>
  <c r="H51" i="201"/>
  <c r="H50" i="201"/>
  <c r="H49" i="201"/>
  <c r="H48" i="201"/>
  <c r="H47" i="201"/>
  <c r="H45" i="201"/>
  <c r="H44" i="201"/>
  <c r="H43" i="201"/>
  <c r="H42" i="201"/>
  <c r="H41" i="201"/>
  <c r="H40" i="201"/>
  <c r="H39" i="201"/>
  <c r="H32" i="201"/>
  <c r="H33" i="201"/>
  <c r="H34" i="201"/>
  <c r="H35" i="201"/>
  <c r="H36" i="201"/>
  <c r="H37" i="201"/>
  <c r="H31" i="201"/>
  <c r="G26" i="201"/>
  <c r="G25" i="201"/>
  <c r="G24" i="201"/>
  <c r="G23" i="201"/>
  <c r="G22" i="201"/>
  <c r="G21" i="201"/>
  <c r="G20" i="201"/>
  <c r="G19" i="201"/>
  <c r="G18" i="201"/>
  <c r="G17" i="201"/>
  <c r="G16" i="201"/>
  <c r="G7" i="201"/>
  <c r="G15" i="201"/>
  <c r="G14" i="201"/>
  <c r="G13" i="201"/>
  <c r="G12" i="201"/>
  <c r="G11" i="201"/>
  <c r="G10" i="201"/>
  <c r="G9" i="201"/>
  <c r="G8" i="201"/>
  <c r="G6" i="201"/>
  <c r="G5" i="201"/>
  <c r="G53" i="201"/>
  <c r="G52" i="201"/>
  <c r="G51" i="201"/>
  <c r="G50" i="201"/>
  <c r="G49" i="201"/>
  <c r="G48" i="201"/>
  <c r="G47" i="201"/>
  <c r="G45" i="201"/>
  <c r="G44" i="201"/>
  <c r="G43" i="201"/>
  <c r="G42" i="201"/>
  <c r="G41" i="201"/>
  <c r="G40" i="201"/>
  <c r="G39" i="201"/>
  <c r="G32" i="201"/>
  <c r="G33" i="201"/>
  <c r="G34" i="201"/>
  <c r="G35" i="201"/>
  <c r="G36" i="201"/>
  <c r="G37" i="201"/>
  <c r="G31" i="201"/>
  <c r="G86" i="201"/>
  <c r="G85" i="201"/>
  <c r="G84" i="201"/>
  <c r="G83" i="201"/>
  <c r="G82" i="201"/>
  <c r="G81" i="201"/>
  <c r="G80" i="201"/>
  <c r="G79" i="201"/>
  <c r="G78" i="201"/>
  <c r="G76" i="201"/>
  <c r="G75" i="201"/>
  <c r="G74" i="201"/>
  <c r="G73" i="201"/>
  <c r="G72" i="201"/>
  <c r="G71" i="201"/>
  <c r="G70" i="201"/>
  <c r="G69" i="201"/>
  <c r="G68" i="201"/>
  <c r="G66" i="201"/>
  <c r="G65" i="201"/>
  <c r="G64" i="201"/>
  <c r="G63" i="201"/>
  <c r="G62" i="201"/>
  <c r="G61" i="201"/>
  <c r="G60" i="201"/>
  <c r="G59" i="201"/>
  <c r="G58" i="201"/>
  <c r="H5" i="201"/>
  <c r="H7" i="201"/>
  <c r="H26" i="201"/>
  <c r="H25" i="201"/>
  <c r="H24" i="201"/>
  <c r="H23" i="201"/>
  <c r="H22" i="201"/>
  <c r="H21" i="201"/>
  <c r="H20" i="201"/>
  <c r="H19" i="201"/>
  <c r="H18" i="201"/>
  <c r="H17" i="201"/>
  <c r="H16" i="201"/>
  <c r="H6" i="201"/>
  <c r="H15" i="201"/>
  <c r="H14" i="201"/>
  <c r="H13" i="201"/>
  <c r="H12" i="201"/>
  <c r="H11" i="201"/>
  <c r="H10" i="201"/>
  <c r="H9" i="201"/>
  <c r="H8" i="201"/>
  <c r="K24" i="202" l="1"/>
  <c r="K8" i="202"/>
  <c r="K16" i="202"/>
  <c r="C38" i="456" s="1"/>
  <c r="K26" i="202"/>
  <c r="K23" i="202"/>
  <c r="K17" i="202"/>
  <c r="K25" i="202"/>
  <c r="K22" i="202"/>
  <c r="K21" i="202"/>
  <c r="C45" i="456" s="1"/>
  <c r="K18" i="202"/>
  <c r="K12" i="202"/>
  <c r="C52" i="456" s="1"/>
  <c r="K10" i="202"/>
  <c r="K20" i="202"/>
  <c r="K15" i="202"/>
  <c r="K13" i="202"/>
  <c r="K9" i="202"/>
  <c r="K19" i="202"/>
  <c r="C31" i="456" s="1"/>
  <c r="K11" i="202"/>
  <c r="K14" i="202"/>
  <c r="D8" i="14"/>
  <c r="J26" i="202"/>
  <c r="J18" i="202"/>
  <c r="J22" i="202"/>
  <c r="J25" i="202"/>
  <c r="J17" i="202"/>
  <c r="J21" i="202"/>
  <c r="C46" i="456" s="1"/>
  <c r="J16" i="202"/>
  <c r="J24" i="202"/>
  <c r="J19" i="202"/>
  <c r="C32" i="456" s="1"/>
  <c r="J23" i="202"/>
  <c r="J20" i="202"/>
  <c r="D9" i="14"/>
  <c r="J10" i="202"/>
  <c r="J12" i="202"/>
  <c r="C53" i="456" s="1"/>
  <c r="J9" i="202"/>
  <c r="J11" i="202"/>
  <c r="J8" i="202"/>
  <c r="J13" i="202"/>
  <c r="J14" i="202"/>
  <c r="J15" i="202"/>
  <c r="F60" i="174"/>
  <c r="F58" i="174"/>
  <c r="F56" i="174"/>
  <c r="F54" i="174"/>
  <c r="F52" i="174"/>
  <c r="F50" i="174"/>
  <c r="L30" i="174"/>
  <c r="L29" i="174"/>
  <c r="L28" i="174"/>
  <c r="L27" i="174"/>
  <c r="L26" i="174"/>
  <c r="L25" i="174"/>
  <c r="L24" i="174"/>
  <c r="L23" i="174"/>
  <c r="L22" i="174"/>
  <c r="L21" i="174"/>
  <c r="L20" i="174"/>
  <c r="R29" i="174"/>
  <c r="T29" i="174" s="1"/>
  <c r="R27" i="174"/>
  <c r="T27" i="174" s="1"/>
  <c r="R25" i="174"/>
  <c r="T25" i="174" s="1"/>
  <c r="R23" i="174"/>
  <c r="T23" i="174" s="1"/>
  <c r="R21" i="174"/>
  <c r="T21" i="174" s="1"/>
  <c r="N60" i="174"/>
  <c r="L60" i="174"/>
  <c r="R60" i="174"/>
  <c r="T60" i="174" s="1"/>
  <c r="N59" i="174"/>
  <c r="L59" i="174"/>
  <c r="F59" i="174"/>
  <c r="R59" i="174"/>
  <c r="T59" i="174" s="1"/>
  <c r="N58" i="174"/>
  <c r="L58" i="174"/>
  <c r="R58" i="174"/>
  <c r="T58" i="174" s="1"/>
  <c r="N57" i="174"/>
  <c r="L57" i="174"/>
  <c r="F57" i="174"/>
  <c r="R57" i="174"/>
  <c r="T57" i="174" s="1"/>
  <c r="N56" i="174"/>
  <c r="L56" i="174"/>
  <c r="R56" i="174"/>
  <c r="T56" i="174" s="1"/>
  <c r="N55" i="174"/>
  <c r="L55" i="174"/>
  <c r="F55" i="174"/>
  <c r="R55" i="174"/>
  <c r="T55" i="174" s="1"/>
  <c r="N54" i="174"/>
  <c r="L54" i="174"/>
  <c r="R54" i="174"/>
  <c r="T54" i="174" s="1"/>
  <c r="N53" i="174"/>
  <c r="L53" i="174"/>
  <c r="F53" i="174"/>
  <c r="R53" i="174"/>
  <c r="T53" i="174" s="1"/>
  <c r="N52" i="174"/>
  <c r="L52" i="174"/>
  <c r="R52" i="174"/>
  <c r="T52" i="174" s="1"/>
  <c r="N51" i="174"/>
  <c r="L51" i="174"/>
  <c r="F51" i="174"/>
  <c r="R51" i="174"/>
  <c r="T51" i="174" s="1"/>
  <c r="N50" i="174"/>
  <c r="L50" i="174"/>
  <c r="R50" i="174"/>
  <c r="T50" i="174" s="1"/>
  <c r="N45" i="174"/>
  <c r="L45" i="174"/>
  <c r="F45" i="174"/>
  <c r="R45" i="174"/>
  <c r="T45" i="174" s="1"/>
  <c r="N44" i="174"/>
  <c r="L44" i="174"/>
  <c r="F44" i="174"/>
  <c r="R44" i="174"/>
  <c r="T44" i="174" s="1"/>
  <c r="N43" i="174"/>
  <c r="L43" i="174"/>
  <c r="F43" i="174"/>
  <c r="R43" i="174"/>
  <c r="T43" i="174" s="1"/>
  <c r="N42" i="174"/>
  <c r="L42" i="174"/>
  <c r="F42" i="174"/>
  <c r="R42" i="174"/>
  <c r="T42" i="174" s="1"/>
  <c r="N41" i="174"/>
  <c r="L41" i="174"/>
  <c r="F41" i="174"/>
  <c r="R41" i="174"/>
  <c r="T41" i="174" s="1"/>
  <c r="N40" i="174"/>
  <c r="L40" i="174"/>
  <c r="F40" i="174"/>
  <c r="R40" i="174"/>
  <c r="T40" i="174" s="1"/>
  <c r="N39" i="174"/>
  <c r="L39" i="174"/>
  <c r="F39" i="174"/>
  <c r="R39" i="174"/>
  <c r="T39" i="174" s="1"/>
  <c r="N38" i="174"/>
  <c r="L38" i="174"/>
  <c r="F38" i="174"/>
  <c r="R38" i="174"/>
  <c r="T38" i="174" s="1"/>
  <c r="N37" i="174"/>
  <c r="L37" i="174"/>
  <c r="F37" i="174"/>
  <c r="R37" i="174"/>
  <c r="T37" i="174" s="1"/>
  <c r="N36" i="174"/>
  <c r="L36" i="174"/>
  <c r="F36" i="174"/>
  <c r="R36" i="174"/>
  <c r="T36" i="174" s="1"/>
  <c r="N35" i="174"/>
  <c r="L35" i="174"/>
  <c r="F35" i="174"/>
  <c r="R35" i="174"/>
  <c r="T35" i="174" s="1"/>
  <c r="N30" i="174"/>
  <c r="F30" i="174"/>
  <c r="N29" i="174"/>
  <c r="F29" i="174"/>
  <c r="N28" i="174"/>
  <c r="F28" i="174"/>
  <c r="N27" i="174"/>
  <c r="F27" i="174"/>
  <c r="N26" i="174"/>
  <c r="F26" i="174"/>
  <c r="N25" i="174"/>
  <c r="F25" i="174"/>
  <c r="N24" i="174"/>
  <c r="F24" i="174"/>
  <c r="N23" i="174"/>
  <c r="F23" i="174"/>
  <c r="N22" i="174"/>
  <c r="F22" i="174"/>
  <c r="N21" i="174"/>
  <c r="F21" i="174"/>
  <c r="N20" i="174"/>
  <c r="F20" i="174"/>
  <c r="R15" i="174"/>
  <c r="L15" i="174"/>
  <c r="R14" i="174"/>
  <c r="L14" i="174"/>
  <c r="R13" i="174"/>
  <c r="L13" i="174"/>
  <c r="R12" i="174"/>
  <c r="L12" i="174"/>
  <c r="R11" i="174"/>
  <c r="L11" i="174"/>
  <c r="R10" i="174"/>
  <c r="L10" i="174"/>
  <c r="R9" i="174"/>
  <c r="L9" i="174"/>
  <c r="R8" i="174"/>
  <c r="L8" i="174"/>
  <c r="R7" i="174"/>
  <c r="L7" i="174"/>
  <c r="R6" i="174"/>
  <c r="L6" i="174"/>
  <c r="R5" i="174"/>
  <c r="L5" i="174"/>
  <c r="L57" i="173"/>
  <c r="N41" i="173"/>
  <c r="N38" i="173"/>
  <c r="N37" i="173"/>
  <c r="N36" i="173"/>
  <c r="L58" i="173"/>
  <c r="R56" i="173"/>
  <c r="T56" i="173" s="1"/>
  <c r="F58" i="173"/>
  <c r="F55" i="173"/>
  <c r="R57" i="173"/>
  <c r="T57" i="173" s="1"/>
  <c r="F59" i="173"/>
  <c r="N59" i="173"/>
  <c r="L59" i="173"/>
  <c r="R59" i="173"/>
  <c r="T59" i="173" s="1"/>
  <c r="N58" i="173"/>
  <c r="N57" i="173"/>
  <c r="F57" i="173"/>
  <c r="N56" i="173"/>
  <c r="L56" i="173"/>
  <c r="N55" i="173"/>
  <c r="L55" i="173"/>
  <c r="R55" i="173"/>
  <c r="T55" i="173" s="1"/>
  <c r="N44" i="173"/>
  <c r="F44" i="173"/>
  <c r="N43" i="173"/>
  <c r="F43" i="173"/>
  <c r="N42" i="173"/>
  <c r="F42" i="173"/>
  <c r="F41" i="173"/>
  <c r="N40" i="173"/>
  <c r="F40" i="173"/>
  <c r="N29" i="173"/>
  <c r="R29" i="173"/>
  <c r="T29" i="173" s="1"/>
  <c r="N28" i="173"/>
  <c r="F28" i="173"/>
  <c r="N27" i="173"/>
  <c r="F27" i="173"/>
  <c r="N26" i="173"/>
  <c r="F26" i="173"/>
  <c r="N25" i="173"/>
  <c r="F25" i="173"/>
  <c r="R14" i="173"/>
  <c r="L14" i="173"/>
  <c r="R13" i="173"/>
  <c r="L13" i="173"/>
  <c r="R12" i="173"/>
  <c r="L12" i="173"/>
  <c r="R11" i="173"/>
  <c r="L11" i="173"/>
  <c r="R10" i="173"/>
  <c r="L10" i="173"/>
  <c r="N60" i="173"/>
  <c r="N54" i="173"/>
  <c r="N53" i="173"/>
  <c r="N52" i="173"/>
  <c r="N51" i="173"/>
  <c r="N50" i="173"/>
  <c r="N45" i="173"/>
  <c r="N39" i="173"/>
  <c r="N30" i="173"/>
  <c r="R30" i="173"/>
  <c r="T30" i="173" s="1"/>
  <c r="N24" i="173"/>
  <c r="N23" i="173"/>
  <c r="N22" i="173"/>
  <c r="N21" i="173"/>
  <c r="N20" i="173"/>
  <c r="R15" i="173"/>
  <c r="L15" i="173"/>
  <c r="R9" i="173"/>
  <c r="L9" i="173"/>
  <c r="R8" i="173"/>
  <c r="L8" i="173"/>
  <c r="R7" i="173"/>
  <c r="L7" i="173"/>
  <c r="R6" i="173"/>
  <c r="L6" i="173"/>
  <c r="R5" i="173"/>
  <c r="L5" i="173"/>
  <c r="C13" i="456" l="1"/>
  <c r="C12" i="456" s="1"/>
  <c r="C39" i="456"/>
  <c r="C11" i="456"/>
  <c r="C10" i="456" s="1"/>
  <c r="R20" i="174"/>
  <c r="T20" i="174" s="1"/>
  <c r="R22" i="174"/>
  <c r="T22" i="174" s="1"/>
  <c r="R24" i="174"/>
  <c r="T24" i="174" s="1"/>
  <c r="R26" i="174"/>
  <c r="T26" i="174" s="1"/>
  <c r="R28" i="174"/>
  <c r="T28" i="174" s="1"/>
  <c r="R30" i="174"/>
  <c r="T30" i="174" s="1"/>
  <c r="F56" i="173"/>
  <c r="R58" i="173"/>
  <c r="T58" i="173" s="1"/>
  <c r="F30" i="173"/>
  <c r="L30" i="173"/>
  <c r="R36" i="173"/>
  <c r="T36" i="173" s="1"/>
  <c r="R38" i="173"/>
  <c r="T38" i="173" s="1"/>
  <c r="R51" i="173"/>
  <c r="T51" i="173" s="1"/>
  <c r="F29" i="173"/>
  <c r="L29" i="173"/>
  <c r="L40" i="173"/>
  <c r="R40" i="173"/>
  <c r="T40" i="173" s="1"/>
  <c r="L41" i="173"/>
  <c r="R41" i="173"/>
  <c r="T41" i="173" s="1"/>
  <c r="L42" i="173"/>
  <c r="R42" i="173"/>
  <c r="T42" i="173" s="1"/>
  <c r="L43" i="173"/>
  <c r="R43" i="173"/>
  <c r="T43" i="173" s="1"/>
  <c r="L44" i="173"/>
  <c r="R44" i="173"/>
  <c r="T44" i="173" s="1"/>
  <c r="L25" i="173"/>
  <c r="R21" i="173"/>
  <c r="T21" i="173" s="1"/>
  <c r="R50" i="173"/>
  <c r="T50" i="173" s="1"/>
  <c r="F51" i="173"/>
  <c r="L51" i="173"/>
  <c r="R53" i="173"/>
  <c r="T53" i="173" s="1"/>
  <c r="R60" i="173"/>
  <c r="T60" i="173" s="1"/>
  <c r="R25" i="173"/>
  <c r="T25" i="173" s="1"/>
  <c r="L26" i="173"/>
  <c r="R26" i="173"/>
  <c r="T26" i="173" s="1"/>
  <c r="L27" i="173"/>
  <c r="R27" i="173"/>
  <c r="T27" i="173" s="1"/>
  <c r="L28" i="173"/>
  <c r="R28" i="173"/>
  <c r="T28" i="173" s="1"/>
  <c r="R20" i="173"/>
  <c r="T20" i="173" s="1"/>
  <c r="F21" i="173"/>
  <c r="L21" i="173"/>
  <c r="R23" i="173"/>
  <c r="T23" i="173" s="1"/>
  <c r="R37" i="173"/>
  <c r="T37" i="173" s="1"/>
  <c r="F38" i="173"/>
  <c r="L38" i="173"/>
  <c r="R45" i="173"/>
  <c r="T45" i="173" s="1"/>
  <c r="R54" i="173"/>
  <c r="T54" i="173" s="1"/>
  <c r="F60" i="173"/>
  <c r="L60" i="173"/>
  <c r="R22" i="173"/>
  <c r="T22" i="173" s="1"/>
  <c r="F23" i="173"/>
  <c r="L23" i="173"/>
  <c r="F36" i="173"/>
  <c r="L36" i="173"/>
  <c r="R39" i="173"/>
  <c r="T39" i="173" s="1"/>
  <c r="F45" i="173"/>
  <c r="L45" i="173"/>
  <c r="R52" i="173"/>
  <c r="T52" i="173" s="1"/>
  <c r="F53" i="173"/>
  <c r="L53" i="173"/>
  <c r="R24" i="173"/>
  <c r="T24" i="173" s="1"/>
  <c r="F20" i="173"/>
  <c r="L20" i="173"/>
  <c r="F22" i="173"/>
  <c r="L22" i="173"/>
  <c r="F24" i="173"/>
  <c r="L24" i="173"/>
  <c r="F35" i="173"/>
  <c r="F37" i="173"/>
  <c r="L37" i="173"/>
  <c r="F39" i="173"/>
  <c r="L39" i="173"/>
  <c r="F50" i="173"/>
  <c r="L50" i="173"/>
  <c r="F52" i="173"/>
  <c r="L52" i="173"/>
  <c r="F54" i="173"/>
  <c r="L54" i="173"/>
  <c r="N30" i="171"/>
  <c r="N29" i="171"/>
  <c r="N28" i="171"/>
  <c r="N27" i="171"/>
  <c r="N26" i="171"/>
  <c r="N25" i="171"/>
  <c r="N20" i="171"/>
  <c r="N19" i="171"/>
  <c r="N18" i="171"/>
  <c r="N17" i="171"/>
  <c r="N16" i="171"/>
  <c r="N15" i="171"/>
  <c r="L36" i="171"/>
  <c r="N36" i="171"/>
  <c r="N35" i="171"/>
  <c r="F40" i="171"/>
  <c r="F38" i="171"/>
  <c r="F36" i="171"/>
  <c r="F35" i="171"/>
  <c r="L30" i="171"/>
  <c r="L28" i="171"/>
  <c r="L27" i="171"/>
  <c r="L26" i="171"/>
  <c r="L25" i="171"/>
  <c r="R25" i="171"/>
  <c r="T25" i="171" s="1"/>
  <c r="L20" i="171"/>
  <c r="L19" i="171"/>
  <c r="L18" i="171"/>
  <c r="L16" i="171"/>
  <c r="L15" i="171"/>
  <c r="R20" i="171"/>
  <c r="T20" i="171" s="1"/>
  <c r="R18" i="171"/>
  <c r="T18" i="171" s="1"/>
  <c r="R16" i="171"/>
  <c r="T16" i="171" s="1"/>
  <c r="R36" i="171"/>
  <c r="T36" i="171" s="1"/>
  <c r="R35" i="171"/>
  <c r="T35" i="171" s="1"/>
  <c r="R30" i="171"/>
  <c r="T30" i="171" s="1"/>
  <c r="R29" i="171"/>
  <c r="T29" i="171" s="1"/>
  <c r="R28" i="171"/>
  <c r="T28" i="171" s="1"/>
  <c r="R27" i="171"/>
  <c r="T27" i="171" s="1"/>
  <c r="R26" i="171"/>
  <c r="T26" i="171" s="1"/>
  <c r="R19" i="171"/>
  <c r="T19" i="171" s="1"/>
  <c r="R17" i="171"/>
  <c r="T17" i="171" s="1"/>
  <c r="R15" i="171"/>
  <c r="T15" i="171" s="1"/>
  <c r="R10" i="171"/>
  <c r="R9" i="171"/>
  <c r="R8" i="171"/>
  <c r="R7" i="171"/>
  <c r="R6" i="171"/>
  <c r="R5" i="171"/>
  <c r="F39" i="171"/>
  <c r="F37" i="171"/>
  <c r="F30" i="171"/>
  <c r="F29" i="171"/>
  <c r="F28" i="171"/>
  <c r="F27" i="171"/>
  <c r="F26" i="171"/>
  <c r="F19" i="171"/>
  <c r="F17" i="171"/>
  <c r="F15" i="171"/>
  <c r="L29" i="171"/>
  <c r="L17" i="171"/>
  <c r="E38" i="1"/>
  <c r="C39" i="1"/>
  <c r="E39" i="1"/>
  <c r="E105" i="1"/>
  <c r="C105" i="1"/>
  <c r="E106" i="1"/>
  <c r="C106" i="1"/>
  <c r="E103" i="1"/>
  <c r="C103" i="1"/>
  <c r="E121" i="1"/>
  <c r="C121" i="1"/>
  <c r="C120" i="1"/>
  <c r="E120" i="1"/>
  <c r="E119" i="1"/>
  <c r="C119" i="1"/>
  <c r="E118" i="1"/>
  <c r="C118" i="1"/>
  <c r="E117" i="1"/>
  <c r="C117" i="1"/>
  <c r="E104" i="1"/>
  <c r="C104" i="1"/>
  <c r="E116" i="1"/>
  <c r="C116" i="1"/>
  <c r="E93" i="1"/>
  <c r="C93" i="1"/>
  <c r="E92" i="1"/>
  <c r="C92" i="1"/>
  <c r="E91" i="1"/>
  <c r="C91" i="1"/>
  <c r="E90" i="1"/>
  <c r="C90" i="1"/>
  <c r="E89" i="1"/>
  <c r="C89" i="1"/>
  <c r="E76" i="1"/>
  <c r="C76" i="1"/>
  <c r="B7" i="163"/>
  <c r="E75" i="1"/>
  <c r="C75" i="1"/>
  <c r="E72" i="1"/>
  <c r="C72" i="1"/>
  <c r="E62" i="1"/>
  <c r="C62" i="1"/>
  <c r="E56" i="1"/>
  <c r="C56" i="1"/>
  <c r="E50" i="1"/>
  <c r="C50" i="1"/>
  <c r="E47" i="1"/>
  <c r="C47" i="1"/>
  <c r="E46" i="1"/>
  <c r="C46" i="1"/>
  <c r="E42" i="1"/>
  <c r="C42" i="1"/>
  <c r="E32" i="1"/>
  <c r="C32" i="1"/>
  <c r="E29" i="1"/>
  <c r="C29" i="1"/>
  <c r="E27" i="1"/>
  <c r="C27" i="1"/>
  <c r="E26" i="1"/>
  <c r="C26" i="1"/>
  <c r="E20" i="1"/>
  <c r="E158" i="1"/>
  <c r="C158" i="1"/>
  <c r="E157" i="1"/>
  <c r="C157" i="1"/>
  <c r="E156" i="1"/>
  <c r="C156" i="1"/>
  <c r="E155" i="1"/>
  <c r="C155" i="1"/>
  <c r="E154" i="1"/>
  <c r="C154" i="1"/>
  <c r="E153" i="1"/>
  <c r="C153" i="1"/>
  <c r="E146" i="1"/>
  <c r="C146" i="1"/>
  <c r="E145" i="1"/>
  <c r="C145" i="1"/>
  <c r="E144" i="1"/>
  <c r="C144" i="1"/>
  <c r="E143" i="1"/>
  <c r="C143" i="1"/>
  <c r="E142" i="1"/>
  <c r="C142" i="1"/>
  <c r="E141" i="1"/>
  <c r="C141" i="1"/>
  <c r="E134" i="1"/>
  <c r="C134" i="1"/>
  <c r="E133" i="1"/>
  <c r="C133" i="1"/>
  <c r="E132" i="1"/>
  <c r="C132" i="1"/>
  <c r="E131" i="1"/>
  <c r="C131" i="1"/>
  <c r="E130" i="1"/>
  <c r="C130" i="1"/>
  <c r="E129" i="1"/>
  <c r="C129" i="1"/>
  <c r="F16" i="171" l="1"/>
  <c r="F18" i="171"/>
  <c r="F20" i="171"/>
  <c r="L35" i="171"/>
  <c r="F25" i="171"/>
  <c r="F17" i="139" l="1"/>
  <c r="F15" i="136"/>
  <c r="F17" i="135"/>
  <c r="F16" i="139"/>
  <c r="F15" i="139"/>
  <c r="F14" i="139"/>
  <c r="F13" i="139"/>
  <c r="F12" i="139"/>
  <c r="F11" i="139"/>
  <c r="F10" i="139"/>
  <c r="F9" i="139"/>
  <c r="F8" i="139"/>
  <c r="B7" i="139"/>
  <c r="F14" i="138"/>
  <c r="F13" i="138"/>
  <c r="F12" i="138"/>
  <c r="F11" i="138"/>
  <c r="F10" i="138"/>
  <c r="F9" i="138"/>
  <c r="F8" i="138"/>
  <c r="B7" i="138"/>
  <c r="F17" i="137"/>
  <c r="F16" i="137"/>
  <c r="F15" i="137"/>
  <c r="F14" i="137"/>
  <c r="F13" i="137"/>
  <c r="F12" i="137"/>
  <c r="F11" i="137"/>
  <c r="F10" i="137"/>
  <c r="F9" i="137"/>
  <c r="F8" i="137"/>
  <c r="B7" i="137"/>
  <c r="F14" i="136"/>
  <c r="F13" i="136"/>
  <c r="F12" i="136"/>
  <c r="F11" i="136"/>
  <c r="F10" i="136"/>
  <c r="F9" i="136"/>
  <c r="F8" i="136"/>
  <c r="B7" i="136"/>
  <c r="F16" i="135"/>
  <c r="F15" i="135"/>
  <c r="F14" i="135"/>
  <c r="F13" i="135"/>
  <c r="F12" i="135"/>
  <c r="F11" i="135"/>
  <c r="F10" i="135"/>
  <c r="F9" i="135"/>
  <c r="F8" i="135"/>
  <c r="B7" i="135"/>
  <c r="F14" i="134"/>
  <c r="F13" i="134"/>
  <c r="F12" i="134"/>
  <c r="F11" i="134"/>
  <c r="F10" i="134"/>
  <c r="F9" i="134"/>
  <c r="F8" i="134"/>
  <c r="B7" i="134"/>
  <c r="F9" i="132"/>
  <c r="F9" i="131"/>
  <c r="K9" i="131" s="1"/>
  <c r="E17" i="116"/>
  <c r="D17" i="116"/>
  <c r="C17" i="116"/>
  <c r="E15" i="115"/>
  <c r="D15" i="115"/>
  <c r="C15" i="115"/>
  <c r="E17" i="114"/>
  <c r="D17" i="114"/>
  <c r="C17" i="114"/>
  <c r="F17" i="114" s="1"/>
  <c r="E15" i="113"/>
  <c r="D15" i="113"/>
  <c r="C15" i="113"/>
  <c r="E17" i="112"/>
  <c r="D17" i="112"/>
  <c r="C17" i="112"/>
  <c r="E15" i="111"/>
  <c r="D15" i="111"/>
  <c r="C15" i="111"/>
  <c r="F9" i="130"/>
  <c r="K9" i="130" s="1"/>
  <c r="F16" i="116"/>
  <c r="F15" i="116"/>
  <c r="F14" i="116"/>
  <c r="F13" i="116"/>
  <c r="F12" i="116"/>
  <c r="F11" i="116"/>
  <c r="F10" i="116"/>
  <c r="F9" i="116"/>
  <c r="F8" i="116"/>
  <c r="B7" i="116"/>
  <c r="F14" i="115"/>
  <c r="F13" i="115"/>
  <c r="F12" i="115"/>
  <c r="F11" i="115"/>
  <c r="F10" i="115"/>
  <c r="F9" i="115"/>
  <c r="F8" i="115"/>
  <c r="B7" i="115"/>
  <c r="F16" i="114"/>
  <c r="F15" i="114"/>
  <c r="F14" i="114"/>
  <c r="F13" i="114"/>
  <c r="F12" i="114"/>
  <c r="F11" i="114"/>
  <c r="F10" i="114"/>
  <c r="F9" i="114"/>
  <c r="F8" i="114"/>
  <c r="B7" i="114"/>
  <c r="F14" i="113"/>
  <c r="F13" i="113"/>
  <c r="F12" i="113"/>
  <c r="F11" i="113"/>
  <c r="F10" i="113"/>
  <c r="F9" i="113"/>
  <c r="F8" i="113"/>
  <c r="B7" i="113"/>
  <c r="F16" i="112"/>
  <c r="F15" i="112"/>
  <c r="F14" i="112"/>
  <c r="F13" i="112"/>
  <c r="F12" i="112"/>
  <c r="F11" i="112"/>
  <c r="F10" i="112"/>
  <c r="F9" i="112"/>
  <c r="F8" i="112"/>
  <c r="B7" i="112"/>
  <c r="F14" i="111"/>
  <c r="F13" i="111"/>
  <c r="F12" i="111"/>
  <c r="F11" i="111"/>
  <c r="F10" i="111"/>
  <c r="F9" i="111"/>
  <c r="F8" i="111"/>
  <c r="B7" i="111"/>
  <c r="L9" i="132" l="1"/>
  <c r="K9" i="132"/>
  <c r="L9" i="130"/>
  <c r="F15" i="113"/>
  <c r="F15" i="111"/>
  <c r="F17" i="116"/>
  <c r="F15" i="115"/>
  <c r="F17" i="112"/>
  <c r="L9" i="131"/>
  <c r="F15" i="138"/>
  <c r="F9" i="155"/>
  <c r="F9" i="154"/>
  <c r="F9" i="153"/>
  <c r="F15" i="134"/>
  <c r="D17" i="44"/>
  <c r="C17" i="44"/>
  <c r="D15" i="43"/>
  <c r="C15" i="43"/>
  <c r="E17" i="48"/>
  <c r="D17" i="48"/>
  <c r="C17" i="48"/>
  <c r="D15" i="47"/>
  <c r="D17" i="46"/>
  <c r="C17" i="46"/>
  <c r="C15" i="47"/>
  <c r="D15" i="45"/>
  <c r="C15" i="45"/>
  <c r="E15" i="47"/>
  <c r="E17" i="46"/>
  <c r="E15" i="45"/>
  <c r="E17" i="44"/>
  <c r="E15" i="43"/>
  <c r="L9" i="155" l="1"/>
  <c r="K9" i="155"/>
  <c r="L9" i="153"/>
  <c r="K9" i="153"/>
  <c r="L9" i="154"/>
  <c r="K9" i="154"/>
  <c r="F8" i="11" l="1"/>
  <c r="F9" i="11"/>
  <c r="F10" i="11"/>
  <c r="F11" i="11"/>
  <c r="F12" i="11"/>
  <c r="F13" i="11"/>
  <c r="F14" i="11"/>
  <c r="F8" i="21" l="1"/>
  <c r="F18" i="18"/>
  <c r="F18" i="15"/>
  <c r="F7" i="13" l="1"/>
  <c r="F8" i="10" l="1"/>
  <c r="F31" i="10" l="1"/>
  <c r="F29" i="10"/>
  <c r="F28" i="10"/>
  <c r="F27" i="10"/>
  <c r="F26" i="10"/>
  <c r="F25" i="10"/>
  <c r="F24" i="10"/>
  <c r="F23" i="10"/>
  <c r="F22" i="10"/>
  <c r="F21" i="10"/>
  <c r="F20" i="10"/>
  <c r="F19" i="10"/>
  <c r="F18" i="10"/>
  <c r="F16" i="10"/>
  <c r="F15" i="10"/>
  <c r="F14" i="10"/>
  <c r="F13" i="10"/>
  <c r="F12" i="10"/>
  <c r="F11" i="10"/>
  <c r="F10" i="10"/>
  <c r="F9" i="10"/>
  <c r="F33" i="11"/>
  <c r="F32" i="11"/>
  <c r="F31" i="11"/>
  <c r="F30" i="11"/>
  <c r="F29" i="11"/>
  <c r="F28" i="11"/>
  <c r="F27" i="11"/>
  <c r="F26" i="11"/>
  <c r="F24" i="11"/>
  <c r="F23" i="11"/>
  <c r="F22" i="11"/>
  <c r="F21" i="11"/>
  <c r="F20" i="11"/>
  <c r="F19" i="11"/>
  <c r="F18" i="11"/>
  <c r="F17" i="11"/>
  <c r="F15" i="11"/>
  <c r="F31" i="15"/>
  <c r="F29" i="15"/>
  <c r="F28" i="15"/>
  <c r="F27" i="15"/>
  <c r="F26" i="15"/>
  <c r="F25" i="15"/>
  <c r="F24" i="15"/>
  <c r="F23" i="15"/>
  <c r="F22" i="15"/>
  <c r="F21" i="15"/>
  <c r="F20" i="15"/>
  <c r="F19" i="15"/>
  <c r="F16" i="15"/>
  <c r="F15" i="15"/>
  <c r="F14" i="15"/>
  <c r="F13" i="15"/>
  <c r="F12" i="15"/>
  <c r="F11" i="15"/>
  <c r="F10" i="15"/>
  <c r="F9" i="15"/>
  <c r="F8" i="15"/>
  <c r="F33" i="16"/>
  <c r="F32" i="16"/>
  <c r="F31" i="16"/>
  <c r="F30" i="16"/>
  <c r="F29" i="16"/>
  <c r="F28" i="16"/>
  <c r="F27" i="16"/>
  <c r="F26" i="16"/>
  <c r="F24" i="16"/>
  <c r="F23" i="16"/>
  <c r="F22" i="16"/>
  <c r="F21" i="16"/>
  <c r="F20" i="16"/>
  <c r="F19" i="16"/>
  <c r="F18" i="16"/>
  <c r="F17" i="16"/>
  <c r="F15" i="16"/>
  <c r="F14" i="16"/>
  <c r="F13" i="16"/>
  <c r="F12" i="16"/>
  <c r="F11" i="16"/>
  <c r="F10" i="16"/>
  <c r="F9" i="16"/>
  <c r="F8" i="16"/>
  <c r="F39" i="17"/>
  <c r="F38" i="17"/>
  <c r="F37" i="17"/>
  <c r="F36" i="17"/>
  <c r="F35" i="17"/>
  <c r="F34" i="17"/>
  <c r="F33" i="17"/>
  <c r="F32" i="17"/>
  <c r="F31" i="17"/>
  <c r="F30" i="17"/>
  <c r="F28" i="17"/>
  <c r="F27" i="17"/>
  <c r="F26" i="17"/>
  <c r="F25" i="17"/>
  <c r="F24" i="17"/>
  <c r="F23" i="17"/>
  <c r="F22" i="17"/>
  <c r="F21" i="17"/>
  <c r="F20" i="17"/>
  <c r="F19" i="17"/>
  <c r="F17" i="17"/>
  <c r="F16" i="17"/>
  <c r="F15" i="17"/>
  <c r="F14" i="17"/>
  <c r="F13" i="17"/>
  <c r="F12" i="17"/>
  <c r="F11" i="17"/>
  <c r="F10" i="17"/>
  <c r="F9" i="17"/>
  <c r="F8" i="17"/>
  <c r="F31" i="18"/>
  <c r="F29" i="18"/>
  <c r="F28" i="18"/>
  <c r="F27" i="18"/>
  <c r="F26" i="18"/>
  <c r="F25" i="18"/>
  <c r="F24" i="18"/>
  <c r="F23" i="18"/>
  <c r="F22" i="18"/>
  <c r="F21" i="18"/>
  <c r="F20" i="18"/>
  <c r="F19" i="18"/>
  <c r="F16" i="18"/>
  <c r="F15" i="18"/>
  <c r="F14" i="18"/>
  <c r="F13" i="18"/>
  <c r="F12" i="18"/>
  <c r="F11" i="18"/>
  <c r="F10" i="18"/>
  <c r="F9" i="18"/>
  <c r="F8" i="18"/>
  <c r="F33" i="19"/>
  <c r="F32" i="19"/>
  <c r="F31" i="19"/>
  <c r="F30" i="19"/>
  <c r="F29" i="19"/>
  <c r="F28" i="19"/>
  <c r="F27" i="19"/>
  <c r="F26" i="19"/>
  <c r="F24" i="19"/>
  <c r="F23" i="19"/>
  <c r="F22" i="19"/>
  <c r="F21" i="19"/>
  <c r="F20" i="19"/>
  <c r="F19" i="19"/>
  <c r="F18" i="19"/>
  <c r="F17" i="19"/>
  <c r="F15" i="19"/>
  <c r="F14" i="19"/>
  <c r="F13" i="19"/>
  <c r="F12" i="19"/>
  <c r="F11" i="19"/>
  <c r="F10" i="19"/>
  <c r="F9" i="19"/>
  <c r="F8" i="19"/>
  <c r="F39" i="20"/>
  <c r="F38" i="20"/>
  <c r="F37" i="20"/>
  <c r="F36" i="20"/>
  <c r="F35" i="20"/>
  <c r="F34" i="20"/>
  <c r="F33" i="20"/>
  <c r="F32" i="20"/>
  <c r="F31" i="20"/>
  <c r="F30" i="20"/>
  <c r="F28" i="20"/>
  <c r="F27" i="20"/>
  <c r="F26" i="20"/>
  <c r="F25" i="20"/>
  <c r="F24" i="20"/>
  <c r="F23" i="20"/>
  <c r="F22" i="20"/>
  <c r="F21" i="20"/>
  <c r="F20" i="20"/>
  <c r="F19" i="20"/>
  <c r="F17" i="20"/>
  <c r="F16" i="20"/>
  <c r="F15" i="20"/>
  <c r="F14" i="20"/>
  <c r="F13" i="20"/>
  <c r="F12" i="20"/>
  <c r="F11" i="20"/>
  <c r="F10" i="20"/>
  <c r="F9" i="20"/>
  <c r="F8" i="20"/>
  <c r="F31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6" i="21"/>
  <c r="F15" i="21"/>
  <c r="F14" i="21"/>
  <c r="F13" i="21"/>
  <c r="F12" i="21"/>
  <c r="F11" i="21"/>
  <c r="F10" i="21"/>
  <c r="F9" i="21"/>
  <c r="F31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6" i="22"/>
  <c r="F15" i="22"/>
  <c r="F14" i="22"/>
  <c r="F13" i="22"/>
  <c r="F12" i="22"/>
  <c r="F11" i="22"/>
  <c r="F10" i="22"/>
  <c r="F9" i="22"/>
  <c r="F8" i="22"/>
  <c r="B7" i="48"/>
  <c r="B7" i="47"/>
  <c r="B7" i="46"/>
  <c r="B7" i="45"/>
  <c r="B7" i="44"/>
  <c r="B7" i="43"/>
  <c r="F9" i="30" l="1"/>
  <c r="F8" i="30"/>
  <c r="F13" i="28"/>
  <c r="F12" i="28"/>
  <c r="F11" i="28"/>
  <c r="F10" i="28"/>
  <c r="F9" i="28"/>
  <c r="F8" i="28"/>
  <c r="F13" i="29"/>
  <c r="F12" i="29"/>
  <c r="F11" i="29"/>
  <c r="F10" i="29"/>
  <c r="F9" i="29"/>
  <c r="F8" i="29"/>
  <c r="F18" i="31"/>
  <c r="F17" i="31"/>
  <c r="F16" i="31"/>
  <c r="F15" i="31"/>
  <c r="F14" i="31"/>
  <c r="F13" i="31"/>
  <c r="F12" i="31"/>
  <c r="F11" i="31"/>
  <c r="F10" i="31"/>
  <c r="F9" i="31"/>
  <c r="F8" i="31"/>
  <c r="F18" i="34"/>
  <c r="F17" i="34"/>
  <c r="F16" i="34"/>
  <c r="F15" i="34"/>
  <c r="F14" i="34"/>
  <c r="F13" i="34"/>
  <c r="F12" i="34"/>
  <c r="F11" i="34"/>
  <c r="F10" i="34"/>
  <c r="F9" i="34"/>
  <c r="F8" i="34"/>
  <c r="F18" i="35"/>
  <c r="F17" i="35"/>
  <c r="F16" i="35"/>
  <c r="F15" i="35"/>
  <c r="F14" i="35"/>
  <c r="F13" i="35"/>
  <c r="F12" i="35"/>
  <c r="F11" i="35"/>
  <c r="F10" i="35"/>
  <c r="F9" i="35"/>
  <c r="F8" i="35"/>
  <c r="F18" i="41"/>
  <c r="F18" i="39"/>
  <c r="F18" i="36"/>
  <c r="F17" i="36"/>
  <c r="F16" i="36"/>
  <c r="F15" i="36"/>
  <c r="F14" i="36"/>
  <c r="F13" i="36"/>
  <c r="F12" i="36"/>
  <c r="F11" i="36"/>
  <c r="F10" i="36"/>
  <c r="F9" i="36"/>
  <c r="F8" i="36"/>
  <c r="F17" i="39"/>
  <c r="F16" i="39"/>
  <c r="F15" i="39"/>
  <c r="F14" i="39"/>
  <c r="F13" i="39"/>
  <c r="F12" i="39"/>
  <c r="F11" i="39"/>
  <c r="F10" i="39"/>
  <c r="F9" i="39"/>
  <c r="F8" i="39"/>
  <c r="F17" i="41"/>
  <c r="F16" i="41"/>
  <c r="F15" i="41"/>
  <c r="F14" i="41"/>
  <c r="F13" i="41"/>
  <c r="F12" i="41"/>
  <c r="F11" i="41"/>
  <c r="F10" i="41"/>
  <c r="F9" i="41"/>
  <c r="F15" i="43" l="1"/>
  <c r="F14" i="43"/>
  <c r="F13" i="43"/>
  <c r="F12" i="43"/>
  <c r="F11" i="43"/>
  <c r="F10" i="43"/>
  <c r="F9" i="43"/>
  <c r="F8" i="43"/>
  <c r="F17" i="44"/>
  <c r="F16" i="44"/>
  <c r="F15" i="44"/>
  <c r="F14" i="44"/>
  <c r="F13" i="44"/>
  <c r="F12" i="44"/>
  <c r="F11" i="44"/>
  <c r="F10" i="44"/>
  <c r="F9" i="44"/>
  <c r="F8" i="44"/>
  <c r="F15" i="45"/>
  <c r="F14" i="45"/>
  <c r="F13" i="45"/>
  <c r="F12" i="45"/>
  <c r="F11" i="45"/>
  <c r="F10" i="45"/>
  <c r="F9" i="45"/>
  <c r="F8" i="45"/>
  <c r="F17" i="46"/>
  <c r="F16" i="46"/>
  <c r="F15" i="46"/>
  <c r="F14" i="46"/>
  <c r="F13" i="46"/>
  <c r="F12" i="46"/>
  <c r="F11" i="46"/>
  <c r="F10" i="46"/>
  <c r="F9" i="46"/>
  <c r="F8" i="46"/>
  <c r="F17" i="48"/>
  <c r="F16" i="48"/>
  <c r="F15" i="48"/>
  <c r="F14" i="48"/>
  <c r="F13" i="48"/>
  <c r="F12" i="48"/>
  <c r="F11" i="48"/>
  <c r="F10" i="48"/>
  <c r="F9" i="48"/>
  <c r="F8" i="48"/>
  <c r="F15" i="47"/>
  <c r="F14" i="47"/>
  <c r="F13" i="47"/>
  <c r="F12" i="47"/>
  <c r="F11" i="47"/>
  <c r="F10" i="47"/>
  <c r="F9" i="47"/>
  <c r="F8" i="47"/>
  <c r="N35" i="173"/>
  <c r="L35" i="173"/>
  <c r="F8" i="41"/>
  <c r="R35" i="173"/>
  <c r="T35" i="173" s="1"/>
  <c r="F13" i="30"/>
  <c r="F12" i="30"/>
  <c r="F10" i="30"/>
  <c r="L37" i="171"/>
  <c r="R39" i="171"/>
  <c r="T39" i="171" s="1"/>
  <c r="N40" i="171"/>
  <c r="L40" i="171"/>
  <c r="R40" i="171"/>
  <c r="T40" i="171" s="1"/>
  <c r="F11" i="30"/>
  <c r="R38" i="171"/>
  <c r="T38" i="171" s="1"/>
  <c r="R37" i="171" l="1"/>
  <c r="T37" i="171" s="1"/>
  <c r="L39" i="171"/>
  <c r="L38" i="171"/>
  <c r="N39" i="171"/>
  <c r="N38" i="171"/>
  <c r="N37" i="171"/>
</calcChain>
</file>

<file path=xl/sharedStrings.xml><?xml version="1.0" encoding="utf-8"?>
<sst xmlns="http://schemas.openxmlformats.org/spreadsheetml/2006/main" count="10892" uniqueCount="992">
  <si>
    <t>Woodland Type</t>
  </si>
  <si>
    <t>Area (ha)</t>
  </si>
  <si>
    <t>%</t>
  </si>
  <si>
    <t>Woodland</t>
  </si>
  <si>
    <t>Assumed woodland</t>
  </si>
  <si>
    <t>Low density</t>
  </si>
  <si>
    <t>Total mapped woodland</t>
  </si>
  <si>
    <t>Table 1</t>
  </si>
  <si>
    <t>Woodland area by woodland type</t>
  </si>
  <si>
    <t>Ownership</t>
  </si>
  <si>
    <t>% Woodland</t>
  </si>
  <si>
    <t>Forestry Commission</t>
  </si>
  <si>
    <t>Other ownership</t>
  </si>
  <si>
    <t>Total area of woodland</t>
  </si>
  <si>
    <t>Table 2</t>
  </si>
  <si>
    <t>Woodland area by ownership</t>
  </si>
  <si>
    <t>Forest type</t>
  </si>
  <si>
    <t>Total area 
(ha)</t>
  </si>
  <si>
    <t>% of total area</t>
  </si>
  <si>
    <t>Broadleaved</t>
  </si>
  <si>
    <t>Conifer</t>
  </si>
  <si>
    <t>Felled</t>
  </si>
  <si>
    <t>Ground prep</t>
  </si>
  <si>
    <t>Mixed mainly broadleaved</t>
  </si>
  <si>
    <t>Mixed mainly conifer</t>
  </si>
  <si>
    <t>Young trees</t>
  </si>
  <si>
    <t>Coppice</t>
  </si>
  <si>
    <t>Coppice with standards</t>
  </si>
  <si>
    <t>Shrub</t>
  </si>
  <si>
    <t>Cloud/shadow/uncertain</t>
  </si>
  <si>
    <t>TOTALS</t>
  </si>
  <si>
    <t>Table 3</t>
  </si>
  <si>
    <t>Woodland area by interpreted forest type</t>
  </si>
  <si>
    <t>Woodland area statistics</t>
  </si>
  <si>
    <t>Woodland size</t>
  </si>
  <si>
    <t>2 ha and over</t>
  </si>
  <si>
    <t>Totals</t>
  </si>
  <si>
    <t>Table 4</t>
  </si>
  <si>
    <t>Woodland area by interpreted forest type and woodland size</t>
  </si>
  <si>
    <t>Table 5</t>
  </si>
  <si>
    <t>Woodland area by interpreted forest type and ownership</t>
  </si>
  <si>
    <t>Table 6</t>
  </si>
  <si>
    <t xml:space="preserve">Other </t>
  </si>
  <si>
    <t>Low Density</t>
  </si>
  <si>
    <t>% of 
total area</t>
  </si>
  <si>
    <t>Size class (ha)</t>
  </si>
  <si>
    <t>Total area (ha)</t>
  </si>
  <si>
    <t>Number of woods</t>
  </si>
  <si>
    <t>Mean wood area (ha)</t>
  </si>
  <si>
    <t>&lt;2</t>
  </si>
  <si>
    <t>500 and &gt;</t>
  </si>
  <si>
    <t>All woods</t>
  </si>
  <si>
    <t>Table 7</t>
  </si>
  <si>
    <t>Woodland area by size class distribution</t>
  </si>
  <si>
    <t>Table 8</t>
  </si>
  <si>
    <t>Open areas in woodland by land use type</t>
  </si>
  <si>
    <t>Interpreted open area</t>
  </si>
  <si>
    <t>Agricultural</t>
  </si>
  <si>
    <t>Bare area</t>
  </si>
  <si>
    <t>Grass</t>
  </si>
  <si>
    <t>Power line</t>
  </si>
  <si>
    <t>Quarry</t>
  </si>
  <si>
    <t>River</t>
  </si>
  <si>
    <t>Road</t>
  </si>
  <si>
    <t>Urban</t>
  </si>
  <si>
    <t>Other vegetation</t>
  </si>
  <si>
    <t>Open water</t>
  </si>
  <si>
    <t>Wind farm</t>
  </si>
  <si>
    <t>Net area under canopy</t>
  </si>
  <si>
    <t>Table 9</t>
  </si>
  <si>
    <t>Table 10</t>
  </si>
  <si>
    <t>Table 11</t>
  </si>
  <si>
    <t>Table 12</t>
  </si>
  <si>
    <t>Table 13</t>
  </si>
  <si>
    <t>Stocked area by age class</t>
  </si>
  <si>
    <t>Stocked area by mean stand dbh class</t>
  </si>
  <si>
    <t>Clearfelled area</t>
  </si>
  <si>
    <t>Principal species</t>
  </si>
  <si>
    <t>FC</t>
  </si>
  <si>
    <t>Private sector</t>
  </si>
  <si>
    <t>Total</t>
  </si>
  <si>
    <t>area
(000 ha)</t>
  </si>
  <si>
    <t>SE%</t>
  </si>
  <si>
    <t>Conifers</t>
  </si>
  <si>
    <t>Sitka spruce</t>
  </si>
  <si>
    <t>Scots pine</t>
  </si>
  <si>
    <t>Corsican pine</t>
  </si>
  <si>
    <t>Norway spruce</t>
  </si>
  <si>
    <t>Larches</t>
  </si>
  <si>
    <t>Douglas fir</t>
  </si>
  <si>
    <t>Lodgepole pine</t>
  </si>
  <si>
    <t>Other conifers</t>
  </si>
  <si>
    <t>All conifers</t>
  </si>
  <si>
    <t>Broadleaves</t>
  </si>
  <si>
    <t>Oak</t>
  </si>
  <si>
    <t>Beech</t>
  </si>
  <si>
    <t>Sycamore</t>
  </si>
  <si>
    <t>Ash</t>
  </si>
  <si>
    <t>Birch</t>
  </si>
  <si>
    <t>Sweet chestnut</t>
  </si>
  <si>
    <t>Hazel</t>
  </si>
  <si>
    <t>Hawthorn</t>
  </si>
  <si>
    <t>Alder</t>
  </si>
  <si>
    <t>Willow</t>
  </si>
  <si>
    <t>Other broadleaves</t>
  </si>
  <si>
    <t>All broadleaves</t>
  </si>
  <si>
    <t>All species</t>
  </si>
  <si>
    <t>Figure 1</t>
  </si>
  <si>
    <t>Figure 2</t>
  </si>
  <si>
    <t>Figure 3</t>
  </si>
  <si>
    <t>Figure 4</t>
  </si>
  <si>
    <t>Figure 5</t>
  </si>
  <si>
    <t>Figure 6</t>
  </si>
  <si>
    <t>Figure 8</t>
  </si>
  <si>
    <t>Figure 9</t>
  </si>
  <si>
    <t>Figure 10</t>
  </si>
  <si>
    <t>Figure 11</t>
  </si>
  <si>
    <t>Figure 12</t>
  </si>
  <si>
    <t>Figure 13</t>
  </si>
  <si>
    <t>0–10 years</t>
  </si>
  <si>
    <t>11–20 years</t>
  </si>
  <si>
    <t>21–40 years</t>
  </si>
  <si>
    <t>41–60 years</t>
  </si>
  <si>
    <t>61–80 years</t>
  </si>
  <si>
    <t>81–100 years</t>
  </si>
  <si>
    <t>100+ years</t>
  </si>
  <si>
    <t xml:space="preserve">Mean stand DBH </t>
  </si>
  <si>
    <t>0–7 cm</t>
  </si>
  <si>
    <t>7–10 cm</t>
  </si>
  <si>
    <t>10–15 cm</t>
  </si>
  <si>
    <t>15–20 cm</t>
  </si>
  <si>
    <t>20–30 cm</t>
  </si>
  <si>
    <t>30–40 cm</t>
  </si>
  <si>
    <t>40–60 cm</t>
  </si>
  <si>
    <t>60–80 cm</t>
  </si>
  <si>
    <t>80+ cm</t>
  </si>
  <si>
    <t>Standing volume</t>
  </si>
  <si>
    <t>Table 14</t>
  </si>
  <si>
    <t>Table 15</t>
  </si>
  <si>
    <t>Table 16</t>
  </si>
  <si>
    <t>Figure 14</t>
  </si>
  <si>
    <t>Figure 15</t>
  </si>
  <si>
    <t>Figure 16</t>
  </si>
  <si>
    <t>Standing volume by age class</t>
  </si>
  <si>
    <t>Standing volume by mean stand dbh class</t>
  </si>
  <si>
    <t>Table 17</t>
  </si>
  <si>
    <t>Table 18</t>
  </si>
  <si>
    <t>Table 19</t>
  </si>
  <si>
    <t>Figure 17</t>
  </si>
  <si>
    <t>Figure 18</t>
  </si>
  <si>
    <t>Figure 19</t>
  </si>
  <si>
    <t>Table 20</t>
  </si>
  <si>
    <t>Figure 20</t>
  </si>
  <si>
    <t>biomass
(000 odt)</t>
  </si>
  <si>
    <t>Table 21</t>
  </si>
  <si>
    <t>Figure 21</t>
  </si>
  <si>
    <t>carbon 
(000 t)</t>
  </si>
  <si>
    <t>carbon
(000 t)</t>
  </si>
  <si>
    <t>Existing woodland management information and economic viability data (PS only)</t>
  </si>
  <si>
    <t>Table 22</t>
  </si>
  <si>
    <t>Number of squares surveyed</t>
  </si>
  <si>
    <t>Number of Private sector squares surveyed</t>
  </si>
  <si>
    <t>Number of Private sector squares containing coniferous species</t>
  </si>
  <si>
    <t>Number of Private sector squares containing broadleaved species</t>
  </si>
  <si>
    <t>Figure 22</t>
  </si>
  <si>
    <t>Table 23</t>
  </si>
  <si>
    <t>Figure 23</t>
  </si>
  <si>
    <t>Evidence of thinning</t>
  </si>
  <si>
    <t>Table 24</t>
  </si>
  <si>
    <t>Figure 24</t>
  </si>
  <si>
    <t>Table 25</t>
  </si>
  <si>
    <t>Figure 25</t>
  </si>
  <si>
    <t>Suitability for harvesting</t>
  </si>
  <si>
    <t>Table 26</t>
  </si>
  <si>
    <t>Figure 26</t>
  </si>
  <si>
    <t>Distance to road</t>
  </si>
  <si>
    <t>Table 27</t>
  </si>
  <si>
    <t>Figure 27</t>
  </si>
  <si>
    <t>Road or ride in square</t>
  </si>
  <si>
    <t>Table 28</t>
  </si>
  <si>
    <t>Figure 28</t>
  </si>
  <si>
    <t>Type of road or ride</t>
  </si>
  <si>
    <t>Table 29</t>
  </si>
  <si>
    <t>Figure 29</t>
  </si>
  <si>
    <t>Overdue timber stocks</t>
  </si>
  <si>
    <t>SE %</t>
  </si>
  <si>
    <t>Table 30</t>
  </si>
  <si>
    <t>Figure 30</t>
  </si>
  <si>
    <t>Combined standing volume, increment, availability</t>
  </si>
  <si>
    <t>Table 31</t>
  </si>
  <si>
    <t>Figure 31</t>
  </si>
  <si>
    <t>Table 32</t>
  </si>
  <si>
    <t>Figure 32</t>
  </si>
  <si>
    <t>Table 33</t>
  </si>
  <si>
    <t>Figure 33</t>
  </si>
  <si>
    <t>Table 34</t>
  </si>
  <si>
    <t>Figure 34</t>
  </si>
  <si>
    <t>Table 35</t>
  </si>
  <si>
    <t>Figure 35</t>
  </si>
  <si>
    <t>Table 36</t>
  </si>
  <si>
    <t>Figure 36</t>
  </si>
  <si>
    <t>Table 37</t>
  </si>
  <si>
    <t>Figure 37</t>
  </si>
  <si>
    <t>Table 38</t>
  </si>
  <si>
    <t>Figure 38</t>
  </si>
  <si>
    <t>Table 39</t>
  </si>
  <si>
    <t>Figure 39</t>
  </si>
  <si>
    <t>Table 40</t>
  </si>
  <si>
    <t>Figure 40</t>
  </si>
  <si>
    <t>Table 41</t>
  </si>
  <si>
    <t>Figure 41</t>
  </si>
  <si>
    <t>Table 42</t>
  </si>
  <si>
    <t>Figure 42</t>
  </si>
  <si>
    <t>Top diameter class (cm)</t>
  </si>
  <si>
    <t>7–14</t>
  </si>
  <si>
    <t>14–16</t>
  </si>
  <si>
    <t>16–18</t>
  </si>
  <si>
    <t>18–24</t>
  </si>
  <si>
    <t>24–34</t>
  </si>
  <si>
    <t>34–44</t>
  </si>
  <si>
    <t>44–54</t>
  </si>
  <si>
    <t>54+</t>
  </si>
  <si>
    <t>2017–21</t>
  </si>
  <si>
    <t>FC (%)</t>
  </si>
  <si>
    <t>PS (%)</t>
  </si>
  <si>
    <t>2022–26</t>
  </si>
  <si>
    <t>2027–31</t>
  </si>
  <si>
    <t>2032–36</t>
  </si>
  <si>
    <t>2037–41</t>
  </si>
  <si>
    <t>Forecast period</t>
  </si>
  <si>
    <r>
      <t>volume
(000m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</si>
  <si>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2052–56</t>
  </si>
  <si>
    <t>2057–61</t>
  </si>
  <si>
    <t>2062–66</t>
  </si>
  <si>
    <t>Table 43</t>
  </si>
  <si>
    <t>Figure 43</t>
  </si>
  <si>
    <t>Table 44</t>
  </si>
  <si>
    <t>Figure 44</t>
  </si>
  <si>
    <t>Table 45</t>
  </si>
  <si>
    <t>Figure 45</t>
  </si>
  <si>
    <t>Table 46</t>
  </si>
  <si>
    <t>Figure 46</t>
  </si>
  <si>
    <t>Table 47</t>
  </si>
  <si>
    <t>Figure 47</t>
  </si>
  <si>
    <t>Table 48</t>
  </si>
  <si>
    <t>Figure 48</t>
  </si>
  <si>
    <t>Table 49</t>
  </si>
  <si>
    <t>Figure 49</t>
  </si>
  <si>
    <t>Sweet Chestnut</t>
  </si>
  <si>
    <t>Table 50</t>
  </si>
  <si>
    <t>Figure 50</t>
  </si>
  <si>
    <t>Table 51</t>
  </si>
  <si>
    <t>Figure 51</t>
  </si>
  <si>
    <t>Stocked area of ash as proportion of woodland</t>
  </si>
  <si>
    <t>Figure 52</t>
  </si>
  <si>
    <t>Figure 53</t>
  </si>
  <si>
    <t>Figure 54</t>
  </si>
  <si>
    <t>Figure 55</t>
  </si>
  <si>
    <t>Figure 56</t>
  </si>
  <si>
    <t>Table 57</t>
  </si>
  <si>
    <t>Figure 57</t>
  </si>
  <si>
    <t>Table 58</t>
  </si>
  <si>
    <t>Figure 58</t>
  </si>
  <si>
    <t>Table 59</t>
  </si>
  <si>
    <t>Figure 59</t>
  </si>
  <si>
    <t>Table 60</t>
  </si>
  <si>
    <t>Figure 60</t>
  </si>
  <si>
    <t>Age class (years)</t>
  </si>
  <si>
    <t>100+</t>
  </si>
  <si>
    <t>Mean stand DBH (cm)</t>
  </si>
  <si>
    <t>80+</t>
  </si>
  <si>
    <t>number of trees (thousands)</t>
  </si>
  <si>
    <t>number of trees
(thousands)</t>
  </si>
  <si>
    <t>Stocked area of ash</t>
  </si>
  <si>
    <t>Stocked area of all broadleaves and all species</t>
  </si>
  <si>
    <t xml:space="preserve">Total </t>
  </si>
  <si>
    <t>Total of all broadleaves</t>
  </si>
  <si>
    <t>Total of all species</t>
  </si>
  <si>
    <t>Percentage of ash in all broadleaves</t>
  </si>
  <si>
    <t>Percentage of ash in all species</t>
  </si>
  <si>
    <t>(percent)</t>
  </si>
  <si>
    <t>Standing volume of ash</t>
  </si>
  <si>
    <t>Standing volume of all broadleaves and all species</t>
  </si>
  <si>
    <t>Numbers of trees of ash</t>
  </si>
  <si>
    <t>Number of trees of all broadleaves and all species</t>
  </si>
  <si>
    <t>number of trees (millions)</t>
  </si>
  <si>
    <t>Cumbria and Lancashire</t>
  </si>
  <si>
    <t>East Anglia</t>
  </si>
  <si>
    <t>East Midlands</t>
  </si>
  <si>
    <t>Hertfordshire and North London</t>
  </si>
  <si>
    <t>Lincolnshire and Northamptonshire</t>
  </si>
  <si>
    <t>North East</t>
  </si>
  <si>
    <t>Solent and South Downs</t>
  </si>
  <si>
    <t>Thames</t>
  </si>
  <si>
    <t>Wessex</t>
  </si>
  <si>
    <t>West Midlands</t>
  </si>
  <si>
    <t>Yorkshire</t>
  </si>
  <si>
    <t>Assumed Woodland</t>
  </si>
  <si>
    <t>Devon and Cornwall</t>
  </si>
  <si>
    <t>Long name</t>
  </si>
  <si>
    <t>Short name</t>
  </si>
  <si>
    <t>Gtr Mancs Mersey and Ches</t>
  </si>
  <si>
    <t>Herts and North London</t>
  </si>
  <si>
    <t>Kent S London and E Sussex</t>
  </si>
  <si>
    <t>Lincs and Northants</t>
  </si>
  <si>
    <t>Greater Manchester Merseyside and Cheshire</t>
  </si>
  <si>
    <t>Kent South London and East Sussex</t>
  </si>
  <si>
    <t>Devon Cornwall and the Isles of Scilly</t>
  </si>
  <si>
    <t>Land area</t>
  </si>
  <si>
    <t>PS</t>
  </si>
  <si>
    <t>SE value</t>
  </si>
  <si>
    <t>Abbreviation</t>
  </si>
  <si>
    <t xml:space="preserve">NEA </t>
  </si>
  <si>
    <t xml:space="preserve">CLA </t>
  </si>
  <si>
    <t xml:space="preserve">YOR </t>
  </si>
  <si>
    <t xml:space="preserve">GMC </t>
  </si>
  <si>
    <t xml:space="preserve">WMD </t>
  </si>
  <si>
    <t xml:space="preserve">EMD </t>
  </si>
  <si>
    <t xml:space="preserve">LNA </t>
  </si>
  <si>
    <t xml:space="preserve">EAN </t>
  </si>
  <si>
    <t xml:space="preserve">HNL </t>
  </si>
  <si>
    <t xml:space="preserve">KSL </t>
  </si>
  <si>
    <t xml:space="preserve">SSD </t>
  </si>
  <si>
    <t xml:space="preserve">THS </t>
  </si>
  <si>
    <t xml:space="preserve">WSX </t>
  </si>
  <si>
    <t xml:space="preserve">DCS </t>
  </si>
  <si>
    <r>
      <t>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</si>
  <si>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Table 65</t>
  </si>
  <si>
    <t>Table 64</t>
  </si>
  <si>
    <t>Table 63</t>
  </si>
  <si>
    <t>Table 62</t>
  </si>
  <si>
    <t>Table 61</t>
  </si>
  <si>
    <t>2013–16</t>
  </si>
  <si>
    <t>2042–46</t>
  </si>
  <si>
    <t>2047–51</t>
  </si>
  <si>
    <t>0–10</t>
  </si>
  <si>
    <t>11–20</t>
  </si>
  <si>
    <t>21–40</t>
  </si>
  <si>
    <t>41–60</t>
  </si>
  <si>
    <t>61–80</t>
  </si>
  <si>
    <t>81–100</t>
  </si>
  <si>
    <t>0–7</t>
  </si>
  <si>
    <t>7–10</t>
  </si>
  <si>
    <t>10–15</t>
  </si>
  <si>
    <t>15–20</t>
  </si>
  <si>
    <t>20–30</t>
  </si>
  <si>
    <t>30–40</t>
  </si>
  <si>
    <t>40–60</t>
  </si>
  <si>
    <t>60–80</t>
  </si>
  <si>
    <t>0.5 – &lt; 2 ha</t>
  </si>
  <si>
    <t>2 – &lt;10</t>
  </si>
  <si>
    <t>10 – &lt;20</t>
  </si>
  <si>
    <t>20 – &lt;50</t>
  </si>
  <si>
    <t>50 – &lt;100</t>
  </si>
  <si>
    <t>100 – &lt;500</t>
  </si>
  <si>
    <t>3037–41</t>
  </si>
  <si>
    <t>25–year forecast of softwood timber availability % spruce</t>
  </si>
  <si>
    <t>50–year forecast of softwood timber availability % spruce</t>
  </si>
  <si>
    <t>Top diameter class
(cm)</t>
  </si>
  <si>
    <t>Index of tables and figures</t>
  </si>
  <si>
    <t xml:space="preserve">0–10 </t>
  </si>
  <si>
    <t xml:space="preserve">11–20 </t>
  </si>
  <si>
    <t xml:space="preserve">21–40 </t>
  </si>
  <si>
    <t xml:space="preserve">41–60 </t>
  </si>
  <si>
    <t xml:space="preserve">61–80 </t>
  </si>
  <si>
    <t xml:space="preserve">81–100 </t>
  </si>
  <si>
    <t xml:space="preserve">100+ </t>
  </si>
  <si>
    <t xml:space="preserve">0–7 </t>
  </si>
  <si>
    <t xml:space="preserve">7–10 </t>
  </si>
  <si>
    <t xml:space="preserve">10–15 </t>
  </si>
  <si>
    <t xml:space="preserve">15–20 </t>
  </si>
  <si>
    <t xml:space="preserve">20–30 </t>
  </si>
  <si>
    <t xml:space="preserve">30–40 </t>
  </si>
  <si>
    <t xml:space="preserve">40–60 </t>
  </si>
  <si>
    <t xml:space="preserve">60–80 </t>
  </si>
  <si>
    <t xml:space="preserve">80+ </t>
  </si>
  <si>
    <t>Aligned area</t>
  </si>
  <si>
    <t>Average annual</t>
  </si>
  <si>
    <t>Period total</t>
  </si>
  <si>
    <t>Year</t>
  </si>
  <si>
    <t>Aligned Area</t>
  </si>
  <si>
    <t>Remaining
broadleaves</t>
  </si>
  <si>
    <t>Stocked area
proportion</t>
  </si>
  <si>
    <t>Standing volume 
proportion</t>
  </si>
  <si>
    <t>Number trees
proportion</t>
  </si>
  <si>
    <t>Stocked area of oak</t>
  </si>
  <si>
    <t>Percentage of oak in all broadleaves</t>
  </si>
  <si>
    <t>Percentage of oak in all species</t>
  </si>
  <si>
    <t>Standing volume of oak</t>
  </si>
  <si>
    <t>Numbers of trees of oak</t>
  </si>
  <si>
    <t>Stocked area of sweet chestnut</t>
  </si>
  <si>
    <t>Percentage of sweet chestnut in all broadleaves</t>
  </si>
  <si>
    <t>Percentage of sweet chestnut in all species</t>
  </si>
  <si>
    <t>Standing volume of sweet chestnut</t>
  </si>
  <si>
    <t>Numbers of trees of sweet chestnut</t>
  </si>
  <si>
    <t>Table 70</t>
  </si>
  <si>
    <t>Ash as a proportion of woodland</t>
  </si>
  <si>
    <t>Stocked area of ash by age class</t>
  </si>
  <si>
    <t>Stocked area of ash by mean stand dbh class</t>
  </si>
  <si>
    <t>Standing volume of ash by age class</t>
  </si>
  <si>
    <t>Standing volume of ash by mean stand dbh class</t>
  </si>
  <si>
    <t>Standing volume of ash as a proportion of woodland</t>
  </si>
  <si>
    <t>Number of ash trees as a proportion of woodland</t>
  </si>
  <si>
    <t>Table 52</t>
  </si>
  <si>
    <t>Stocked area of oak by age class</t>
  </si>
  <si>
    <t>Stocked area of oak by mean stand dbh class</t>
  </si>
  <si>
    <t>Standing volume of oak by age class</t>
  </si>
  <si>
    <t>Standing volume of oak by mean stand dbh class</t>
  </si>
  <si>
    <t>Stocked area of oak as proportion of woodland</t>
  </si>
  <si>
    <t>Standing volume of oak as a proportion of woodland</t>
  </si>
  <si>
    <t>Number of oak trees as a proportion of woodland</t>
  </si>
  <si>
    <t>Oak as a proportion of woodland</t>
  </si>
  <si>
    <t>Stocked area of sweet chestnut by age class</t>
  </si>
  <si>
    <t>Stocked area of sweet chestnut by mean stand dbh class</t>
  </si>
  <si>
    <t>Standing volume of sweet chestnut by age class</t>
  </si>
  <si>
    <t>Standing volume of sweet chestnut by mean stand dbh class</t>
  </si>
  <si>
    <t>Stocked area of sweet chestnut as proportion of woodland</t>
  </si>
  <si>
    <t>Standing volume of sweet chestnut as a proportion of woodland</t>
  </si>
  <si>
    <t>Number of sweet chestnut trees as a proportion of woodland</t>
  </si>
  <si>
    <t>Sweet chestnut as a proportion of woodland</t>
  </si>
  <si>
    <t>Table 53</t>
  </si>
  <si>
    <t>Table 54</t>
  </si>
  <si>
    <t>Table 55</t>
  </si>
  <si>
    <t>Table 56</t>
  </si>
  <si>
    <t>Table 66</t>
  </si>
  <si>
    <t>Table 67</t>
  </si>
  <si>
    <t>Table 68</t>
  </si>
  <si>
    <t>Table 69</t>
  </si>
  <si>
    <t>Figure 61</t>
  </si>
  <si>
    <t>Figure 62</t>
  </si>
  <si>
    <t>Number of sweet chestnut trees by mean stand dbh class</t>
  </si>
  <si>
    <t>Number of sweet chestnut trees by age class</t>
  </si>
  <si>
    <t>Number of oak trees by mean stand dbh class</t>
  </si>
  <si>
    <t>Number of oak trees by age class</t>
  </si>
  <si>
    <t>Number of ash trees by mean stand dbh class</t>
  </si>
  <si>
    <t>Number of ash trees by age class</t>
  </si>
  <si>
    <t>Stocked area by principal tree species</t>
  </si>
  <si>
    <t>Standing volume by principal tree species</t>
  </si>
  <si>
    <t>Biomass stocks by principal tree species</t>
  </si>
  <si>
    <t>Carbon stocks by principal tree species</t>
  </si>
  <si>
    <t>Sample square distribution</t>
  </si>
  <si>
    <t>Mean yield class by principal tree species (FC and PS)</t>
  </si>
  <si>
    <t>Standing volume in overdue timber stocks</t>
  </si>
  <si>
    <t>Stocked area of overdue timber stocks</t>
  </si>
  <si>
    <t>25-year softwood forecast</t>
  </si>
  <si>
    <t>50-year softwood forecast</t>
  </si>
  <si>
    <t>50-year hardwood forecast</t>
  </si>
  <si>
    <t>Section 1</t>
  </si>
  <si>
    <t>Section 2</t>
  </si>
  <si>
    <t>Section 3</t>
  </si>
  <si>
    <t>Section 4</t>
  </si>
  <si>
    <t>Section 5</t>
  </si>
  <si>
    <t>Section 6</t>
  </si>
  <si>
    <t>Section 7</t>
  </si>
  <si>
    <t>Section 8</t>
  </si>
  <si>
    <t>Section 9</t>
  </si>
  <si>
    <t>Section 10</t>
  </si>
  <si>
    <t>Section 11</t>
  </si>
  <si>
    <t>Section 12</t>
  </si>
  <si>
    <t>Section 13</t>
  </si>
  <si>
    <t>Section 14</t>
  </si>
  <si>
    <t>50–year forecast of net increment in broadleaves by principal species; average annual volume within period</t>
  </si>
  <si>
    <t>Stocked area by principal conifer tree species</t>
  </si>
  <si>
    <t>Stocked area by principal broadleaved tree species</t>
  </si>
  <si>
    <t>Standing volume by principal conifer tree species</t>
  </si>
  <si>
    <t>Standing volume by principal broadleaved tree species</t>
  </si>
  <si>
    <t>Evidence of management (PS broadleaved sections)</t>
  </si>
  <si>
    <t>Evidence of management (PS conifer sections)</t>
  </si>
  <si>
    <t>Evidence of management (PS mixed broadleaf/conifer sections)</t>
  </si>
  <si>
    <t>Figure 63</t>
  </si>
  <si>
    <t>Figure 64</t>
  </si>
  <si>
    <t>Figure 65</t>
  </si>
  <si>
    <t>Figure 66</t>
  </si>
  <si>
    <t>Stocked area sweet chestnut by
mean stand dbh class (000 ha)</t>
  </si>
  <si>
    <t>Stocked area sweet chestnut by
age class (000 ha)</t>
  </si>
  <si>
    <t>Number of sweet chestnut trees by
age class (000)</t>
  </si>
  <si>
    <t>Number of sweet chestnut trees by
mean stand dbh class (000)</t>
  </si>
  <si>
    <t>Total area
(000 ha)</t>
  </si>
  <si>
    <t>Total number trees
(000)</t>
  </si>
  <si>
    <t>Years in period</t>
  </si>
  <si>
    <t>Period</t>
  </si>
  <si>
    <t>Opening</t>
  </si>
  <si>
    <t>Annual standing volume</t>
  </si>
  <si>
    <t>Periodic standing volume</t>
  </si>
  <si>
    <t>Periodic net increment</t>
  </si>
  <si>
    <t>Periodic availability</t>
  </si>
  <si>
    <t>FC+PS</t>
  </si>
  <si>
    <r>
      <t>Standing volume sweet chestnut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</si>
  <si>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Total 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</si>
  <si>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25-year forecast of softwood timber availability by top diameter class; average annual volume within period</t>
  </si>
  <si>
    <t>50-year forecast of softwood timber availability by principal species; average annual volume within period</t>
  </si>
  <si>
    <t>50-year forecast of hardwood timber availability by principal species; average annual volume within period</t>
  </si>
  <si>
    <t>50-year forecast of hardwood timber availability by top diameter class; average annual volume within period</t>
  </si>
  <si>
    <t>50-year forecast of standing volume in broadleaves by principal species; average annual volume within period</t>
  </si>
  <si>
    <t>25-year forecast of softwood timber availability by principal species; average annual volume within period</t>
  </si>
  <si>
    <t>50–year forecast of softwood timber availability; average annual volume within period</t>
  </si>
  <si>
    <t>25–year forecast of softwood timber availability; average annual volume within period</t>
  </si>
  <si>
    <t>Figure 67</t>
  </si>
  <si>
    <t>Figure 68</t>
  </si>
  <si>
    <t>Figure 69</t>
  </si>
  <si>
    <t>WEIGHTED Total PS Sections</t>
  </si>
  <si>
    <t>Broadleaf</t>
  </si>
  <si>
    <t>Mixed</t>
  </si>
  <si>
    <t>None</t>
  </si>
  <si>
    <t>Weighted sum of sections with at least one record of manual intervention in the category</t>
  </si>
  <si>
    <t>Management_type</t>
  </si>
  <si>
    <t>Number of Sections</t>
  </si>
  <si>
    <t>None or future only</t>
  </si>
  <si>
    <t>Management &lt; 3 yrs old only</t>
  </si>
  <si>
    <t>Management &gt; 3 yrs old only</t>
  </si>
  <si>
    <t>Management both &lt;3 and &gt;3</t>
  </si>
  <si>
    <t>TYPE OF MANAGEMENT &lt; 3 YRS ONLY</t>
  </si>
  <si>
    <t>Type_of_management</t>
  </si>
  <si>
    <t>Number</t>
  </si>
  <si>
    <t>% OF PS SECTIONS (of type)</t>
  </si>
  <si>
    <t>% OF PS SECTIONS (of type) WITH MANAGEMENT</t>
  </si>
  <si>
    <t>% OF ALL SECTIONS (of type) WITH MANAGEMENT &lt; 3 YR ONLY</t>
  </si>
  <si>
    <t>Agroforestry</t>
  </si>
  <si>
    <t>Brashing</t>
  </si>
  <si>
    <t>Cleaning</t>
  </si>
  <si>
    <t>Clearfell</t>
  </si>
  <si>
    <t>Conservation</t>
  </si>
  <si>
    <t>Coppicing</t>
  </si>
  <si>
    <t>De-stumped</t>
  </si>
  <si>
    <t>Draining</t>
  </si>
  <si>
    <t>Fencing - Complete</t>
  </si>
  <si>
    <t>Fencing - Partial</t>
  </si>
  <si>
    <t>Game Birds</t>
  </si>
  <si>
    <t>Grazing</t>
  </si>
  <si>
    <t>Mounded</t>
  </si>
  <si>
    <t>Orchard</t>
  </si>
  <si>
    <t>Ornamental</t>
  </si>
  <si>
    <t>Other</t>
  </si>
  <si>
    <t>Personal Recreation</t>
  </si>
  <si>
    <t>Planting</t>
  </si>
  <si>
    <t>Ploughed DM</t>
  </si>
  <si>
    <t>Ploughed SM</t>
  </si>
  <si>
    <t>Pollarding</t>
  </si>
  <si>
    <t>Pruning</t>
  </si>
  <si>
    <t>Public Recreation</t>
  </si>
  <si>
    <t>Ripped</t>
  </si>
  <si>
    <t>Scarified</t>
  </si>
  <si>
    <t>Shelter / Screening</t>
  </si>
  <si>
    <t>Thinning More than Once</t>
  </si>
  <si>
    <t>Thinning Once</t>
  </si>
  <si>
    <t>Timber Production</t>
  </si>
  <si>
    <t>Weeding</t>
  </si>
  <si>
    <t>Windrowed</t>
  </si>
  <si>
    <t>TYPE OF MANAGEMENT &gt; 3 YRS ONLY</t>
  </si>
  <si>
    <t>TYPE OF MANAGEMENT BOTH &lt;3 AND &gt; 3 YEARS IN SECTION</t>
  </si>
  <si>
    <t>TYPE OF MANAGEMENT REGARDLESS OF AGE</t>
  </si>
  <si>
    <t>Weighted number of sections with at least one record of thinning in the category</t>
  </si>
  <si>
    <t>Evidence of thinning?</t>
  </si>
  <si>
    <t xml:space="preserve">WEIGHTED Number of PS SECTIONS </t>
  </si>
  <si>
    <t>% OF PS SECTIONS</t>
  </si>
  <si>
    <t>No thinning</t>
  </si>
  <si>
    <t>First thinning</t>
  </si>
  <si>
    <t>Subsequent thinning</t>
  </si>
  <si>
    <t>Thinning</t>
  </si>
  <si>
    <t>Thinning &lt; 3 years ONLY</t>
  </si>
  <si>
    <t>THINNING &lt; 3 yrs old</t>
  </si>
  <si>
    <t>WEIGHTED Number of sections</t>
  </si>
  <si>
    <t>% of PS SECTIONS (by type)</t>
  </si>
  <si>
    <t>% OF PS SECTIONS (by type) WITH THIN</t>
  </si>
  <si>
    <t>Thinning &gt; 3 years ONLY</t>
  </si>
  <si>
    <t>THINNING &gt; 3 yrs old</t>
  </si>
  <si>
    <t>Thinning &lt; 3 years AND &gt; 3 years</t>
  </si>
  <si>
    <t>THINNING</t>
  </si>
  <si>
    <t>PS only</t>
  </si>
  <si>
    <t>Weighted count</t>
  </si>
  <si>
    <t>Country/Region</t>
  </si>
  <si>
    <t>Wheeled vehicle possible on site</t>
  </si>
  <si>
    <t>Tracked vehicle only on site</t>
  </si>
  <si>
    <t>Sky line site</t>
  </si>
  <si>
    <t>Mechanised harvesting impossible on site</t>
  </si>
  <si>
    <t>Square type</t>
  </si>
  <si>
    <t>Not possible to assess</t>
  </si>
  <si>
    <t>Percentage</t>
  </si>
  <si>
    <t>&lt; 200m</t>
  </si>
  <si>
    <t>200m - 400m</t>
  </si>
  <si>
    <t>400m - 600m</t>
  </si>
  <si>
    <t>600m - 800m</t>
  </si>
  <si>
    <t>800m - 1000m</t>
  </si>
  <si>
    <t>&gt; 1000m</t>
  </si>
  <si>
    <t>REMEMBER SQUARE CAN HAVE MORE THAN 1 SECTION</t>
  </si>
  <si>
    <t>Number of squares with at least one PS section of the type</t>
  </si>
  <si>
    <t>SUM of stat weighting for these squares</t>
  </si>
  <si>
    <t>Road or ride in survey square?</t>
  </si>
  <si>
    <t>Number of squares</t>
  </si>
  <si>
    <t>Weighted</t>
  </si>
  <si>
    <t>Weighted%</t>
  </si>
  <si>
    <t>Yes</t>
  </si>
  <si>
    <t>No</t>
  </si>
  <si>
    <t>REMEMBER SQUARE CAN HAVE MORE THAN 1 ROAD OR RIDE TYPE</t>
  </si>
  <si>
    <t>Weighted % of PS sections of type</t>
  </si>
  <si>
    <t>Weighted% of PS sections of type that have roads or rides</t>
  </si>
  <si>
    <t>Public road</t>
  </si>
  <si>
    <t>NFI_CATEGORY</t>
  </si>
  <si>
    <t xml:space="preserve">Public Road </t>
  </si>
  <si>
    <t>Forest road sealed</t>
  </si>
  <si>
    <t>Forest road sealed surface</t>
  </si>
  <si>
    <t>Forest road unsealed</t>
  </si>
  <si>
    <t>Forest road unsealed surface</t>
  </si>
  <si>
    <t>Ride sealed</t>
  </si>
  <si>
    <t>Ride sealed surface</t>
  </si>
  <si>
    <t>Ride unsurfaced</t>
  </si>
  <si>
    <t>Extraction track</t>
  </si>
  <si>
    <t>Extraction track - dozed</t>
  </si>
  <si>
    <t>Extraction track dozed</t>
  </si>
  <si>
    <t>Species</t>
  </si>
  <si>
    <t>Number of trees (000)</t>
  </si>
  <si>
    <t>Age Class</t>
  </si>
  <si>
    <t>All Species</t>
  </si>
  <si>
    <t>Std Error</t>
  </si>
  <si>
    <t>All Conifers</t>
  </si>
  <si>
    <t>All Broadleaves</t>
  </si>
  <si>
    <t>0 to 10</t>
  </si>
  <si>
    <t>11 to 20</t>
  </si>
  <si>
    <t>21 to 30</t>
  </si>
  <si>
    <t>31 to 40</t>
  </si>
  <si>
    <t>41 to 50</t>
  </si>
  <si>
    <t>51 to 60</t>
  </si>
  <si>
    <t>61 to 80</t>
  </si>
  <si>
    <t>81 to 100</t>
  </si>
  <si>
    <t>101 to 140</t>
  </si>
  <si>
    <t>141 to 180</t>
  </si>
  <si>
    <t>180+</t>
  </si>
  <si>
    <t>Stocked area (000 ha)</t>
  </si>
  <si>
    <t>Clearfelled area (000 ha)</t>
  </si>
  <si>
    <t>Clearfelled</t>
  </si>
  <si>
    <t>Section 15</t>
  </si>
  <si>
    <t>Figure 70</t>
  </si>
  <si>
    <t>Figure 71</t>
  </si>
  <si>
    <t>Figure 72</t>
  </si>
  <si>
    <t>Figure 73</t>
  </si>
  <si>
    <t>Figure 74</t>
  </si>
  <si>
    <t>Figure 75</t>
  </si>
  <si>
    <t>Figure 76</t>
  </si>
  <si>
    <t>Stocked area of larch by age class</t>
  </si>
  <si>
    <t>Stocked area of larch by mean stand dbh class</t>
  </si>
  <si>
    <t>Standing volume of larch by age class</t>
  </si>
  <si>
    <t>Standing volume of larch by mean stand dbh class</t>
  </si>
  <si>
    <t>Number of larch trees by mean stand dbh class</t>
  </si>
  <si>
    <t>Number of larch trees by age class</t>
  </si>
  <si>
    <t>Stocked area larch by
age class (000 ha)</t>
  </si>
  <si>
    <t>Number of larch trees by
age class (000)</t>
  </si>
  <si>
    <t>Stocked area larch by
mean stand dbh class (000 ha)</t>
  </si>
  <si>
    <t>Number of larch trees by
mean stand dbh class (000)</t>
  </si>
  <si>
    <t>Larch</t>
  </si>
  <si>
    <t>Stocked area of larch as proportion of woodland</t>
  </si>
  <si>
    <t>Stocked area of larch</t>
  </si>
  <si>
    <t>Percentage of larch in all species</t>
  </si>
  <si>
    <t>Standing volume of larch as a proportion of woodland</t>
  </si>
  <si>
    <t>Standing volume of larch</t>
  </si>
  <si>
    <t>Number of larch trees as a proportion of woodland</t>
  </si>
  <si>
    <t>Numbers of trees of larch</t>
  </si>
  <si>
    <t>Remaining
conifers</t>
  </si>
  <si>
    <t>Stocked area
(000 ha)</t>
  </si>
  <si>
    <t>Number of trees
(000)</t>
  </si>
  <si>
    <r>
      <t>Standing 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</si>
  <si>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larch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</si>
  <si>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larch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</si>
  <si>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Table 71</t>
  </si>
  <si>
    <t>Table 72</t>
  </si>
  <si>
    <t>Table 73</t>
  </si>
  <si>
    <t>Table 74</t>
  </si>
  <si>
    <t>Table 75</t>
  </si>
  <si>
    <t>Table 76</t>
  </si>
  <si>
    <t>Table 77</t>
  </si>
  <si>
    <t>Total of all conifers</t>
  </si>
  <si>
    <t>Percentage of larch in all conifers</t>
  </si>
  <si>
    <t>Table 78</t>
  </si>
  <si>
    <t>Table 79</t>
  </si>
  <si>
    <r>
      <t>Standing volume sweet chestnut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</si>
  <si>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oak by
age class (000 ha)</t>
  </si>
  <si>
    <r>
      <t>Standing volume oak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</si>
  <si>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oak trees by
age class (000)</t>
  </si>
  <si>
    <t>Stocked area oak by
mean stand dbh class (000 ha)</t>
  </si>
  <si>
    <r>
      <t>Standing volume oak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</si>
  <si>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oak trees by
mean stand dbh class (000)</t>
  </si>
  <si>
    <t>Stocked area ash by
age class (000 ha)</t>
  </si>
  <si>
    <r>
      <t>Standing volume ash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</si>
  <si>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ash trees by
age class (000)</t>
  </si>
  <si>
    <t>Stocked area ash by
mean stand dbh class (000 ha)</t>
  </si>
  <si>
    <r>
      <t>Standing volume ash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</si>
  <si>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ash trees by
mean stand dbh class (000)</t>
  </si>
  <si>
    <t>Failed</t>
  </si>
  <si>
    <t>Windthrow</t>
  </si>
  <si>
    <t>Woodland area by interpreted forest type, woodland size and  ownership</t>
  </si>
  <si>
    <t>Non-woodland area</t>
  </si>
  <si>
    <t>Woodland land cover</t>
  </si>
  <si>
    <t>Non-woodland land cover</t>
  </si>
  <si>
    <t>Woodland map based</t>
  </si>
  <si>
    <t>Field sample based</t>
  </si>
  <si>
    <t>Sitka Spruce</t>
  </si>
  <si>
    <t>Scots Pine</t>
  </si>
  <si>
    <t>Corsican Pine</t>
  </si>
  <si>
    <t>Norway Spruce</t>
  </si>
  <si>
    <t>Douglas Fir</t>
  </si>
  <si>
    <t>Lodgepole Pine</t>
  </si>
  <si>
    <t>Other Conifers</t>
  </si>
  <si>
    <t>Other Broadleaves</t>
  </si>
  <si>
    <r>
      <t>Annual 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</si>
  <si>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</si>
  <si>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net increment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</si>
  <si>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availability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</si>
  <si>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</si>
  <si>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Woodland map area (000 ha)</t>
  </si>
  <si>
    <t>Return to index</t>
  </si>
  <si>
    <t>Age class</t>
  </si>
  <si>
    <t>Stand mean dbh class</t>
  </si>
  <si>
    <t>Biomass stocks (000 odt)</t>
  </si>
  <si>
    <t>Carbon stocks (000 t)</t>
  </si>
  <si>
    <r>
      <t>Overdue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</si>
  <si>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Overdue area (000 ha)</t>
  </si>
  <si>
    <t>Count of PS survey squares</t>
  </si>
  <si>
    <t>Count of completed PS survey squares</t>
  </si>
  <si>
    <t>Count of completed PS survey squares with conifer species</t>
  </si>
  <si>
    <t>Count of completed PS survey squares with broadleaved species</t>
  </si>
  <si>
    <t>Mean yield class (LULUCF)</t>
  </si>
  <si>
    <t xml:space="preserve"> </t>
  </si>
  <si>
    <t>England</t>
  </si>
  <si>
    <t>ENGLAND</t>
  </si>
  <si>
    <t>Total number of trees
(000)</t>
  </si>
  <si>
    <r>
      <t>Total standing volume 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</si>
  <si>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Total stocked area
(000 ha)</t>
  </si>
  <si>
    <t>Number of ash trees
(000)</t>
  </si>
  <si>
    <r>
      <t>Standing volume - ash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</si>
  <si>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- ash
(000 ha)</t>
  </si>
  <si>
    <t>Number of ash trees - all broadleaves
(000)</t>
  </si>
  <si>
    <r>
      <t>Standing volume - all broadleaves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</si>
  <si>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- all broadleaves
(000 ha)</t>
  </si>
  <si>
    <t>Number of ash trees - all conifers
(000)</t>
  </si>
  <si>
    <r>
      <t>Standing volume - all conifers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</si>
  <si>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- all conifers
(000 ha)</t>
  </si>
  <si>
    <t>Number of trees - all species
(000)</t>
  </si>
  <si>
    <r>
      <t>Standing volume - all species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</si>
  <si>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- all species
(000 ha)</t>
  </si>
  <si>
    <t>Country/Aligned area</t>
  </si>
  <si>
    <t>Country/Aligned Area</t>
  </si>
  <si>
    <t>Stocked area - oak
(000 ha)</t>
  </si>
  <si>
    <r>
      <t>Standing volume - oak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</si>
  <si>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oak trees
(000)</t>
  </si>
  <si>
    <t>Percentage of Oak in all broadleaves</t>
  </si>
  <si>
    <t>Percentage of Oak in all species</t>
  </si>
  <si>
    <t>Standing volume of Oak</t>
  </si>
  <si>
    <t>Stocked area - Sweet chestnut
(000 ha)</t>
  </si>
  <si>
    <t>Standing volume - Sweet chestnut
(000 m3 obs)</t>
  </si>
  <si>
    <t>Number of Sweet chestnut trees
(000)</t>
  </si>
  <si>
    <t>Stocked area - Larch
(000 ha)</t>
  </si>
  <si>
    <t>Standing volume - Larch
(000 m3 obs)</t>
  </si>
  <si>
    <t>Number of Larch trees
(000)</t>
  </si>
  <si>
    <t>ranked on area of all species in both sectors</t>
  </si>
  <si>
    <t>Region</t>
  </si>
  <si>
    <t>All
species</t>
  </si>
  <si>
    <t>All
conifers</t>
  </si>
  <si>
    <t>All
broadleaves</t>
  </si>
  <si>
    <t>area (ha)</t>
  </si>
  <si>
    <t>rank</t>
  </si>
  <si>
    <t>area (000 ha)</t>
  </si>
  <si>
    <t>volume 000 (m3)</t>
  </si>
  <si>
    <t>000 of trees</t>
  </si>
  <si>
    <t>000 of tonnes</t>
  </si>
  <si>
    <t xml:space="preserve">Regional summary of carbon by principal species </t>
  </si>
  <si>
    <t>Number of Sweet chestnut trees - all conifers
(000)</t>
  </si>
  <si>
    <t>Number of Sweet chestnut trees - all broadleaves
(000)</t>
  </si>
  <si>
    <t>se</t>
  </si>
  <si>
    <t>max</t>
  </si>
  <si>
    <t>min</t>
  </si>
  <si>
    <t>decimal places</t>
  </si>
  <si>
    <t>REALIGNED AREAS</t>
  </si>
  <si>
    <t>Woodland area</t>
  </si>
  <si>
    <t>Ranking (land area)</t>
  </si>
  <si>
    <t>Woodland cover</t>
  </si>
  <si>
    <t>Ranking (woodland cover)</t>
  </si>
  <si>
    <t>FC ownership</t>
  </si>
  <si>
    <t>Common con species (stocked area)</t>
  </si>
  <si>
    <t>Excludes 'other' group</t>
  </si>
  <si>
    <t>Common BL species (stocked area)</t>
  </si>
  <si>
    <t>Common con species (standing volume)</t>
  </si>
  <si>
    <t>Common BL species (standing volume)</t>
  </si>
  <si>
    <t>Common con species (number trees)</t>
  </si>
  <si>
    <t>Common BL species (number trees)</t>
  </si>
  <si>
    <t>Overdue conifer volume</t>
  </si>
  <si>
    <t>Conifer thinning</t>
  </si>
  <si>
    <t>Overdue BL volume</t>
  </si>
  <si>
    <t>BL thinning</t>
  </si>
  <si>
    <t>Ash % total stocked area</t>
  </si>
  <si>
    <t>Ash % BL stocked area</t>
  </si>
  <si>
    <t>Ash % total standing volume</t>
  </si>
  <si>
    <t>Ash % BL standing volume</t>
  </si>
  <si>
    <t>Ash % total number of trees</t>
  </si>
  <si>
    <t>Ash % BL number of trees</t>
  </si>
  <si>
    <t>Oak % total stocked area</t>
  </si>
  <si>
    <t>Oak % BL stocked area</t>
  </si>
  <si>
    <t>Oak % total standing volume</t>
  </si>
  <si>
    <t>Oak % BL standing volume</t>
  </si>
  <si>
    <t>Oak % total number of trees</t>
  </si>
  <si>
    <t>Oak % BL number of trees</t>
  </si>
  <si>
    <t>Sweet chestnut % total stocked area</t>
  </si>
  <si>
    <t>Sweet chestnut % BL stocked area</t>
  </si>
  <si>
    <t>Sweet chestnut % total standing volume</t>
  </si>
  <si>
    <t>Sweet chestnut % BL standing volume</t>
  </si>
  <si>
    <t>Sweet chestnut % total number of trees</t>
  </si>
  <si>
    <t>Sweet chestnut % BL number of trees</t>
  </si>
  <si>
    <t>Larch % total stocked area</t>
  </si>
  <si>
    <t>Larch % con stocked area</t>
  </si>
  <si>
    <t>Larch % total standing volume</t>
  </si>
  <si>
    <t>Larch % con standing volume</t>
  </si>
  <si>
    <t>Larch % total number of trees</t>
  </si>
  <si>
    <t>Larch % con number of trees</t>
  </si>
  <si>
    <t>% of con or BL</t>
  </si>
  <si>
    <t>% of all</t>
  </si>
  <si>
    <t>IGNORE FOLLOWING SHEETS</t>
  </si>
  <si>
    <t>rank total area descending</t>
  </si>
  <si>
    <t>Woodland area by ownership - aligned area summary</t>
  </si>
  <si>
    <t>Proportion of woodland area by ownership - aligned area summary</t>
  </si>
  <si>
    <t>Proportion of woodland area by ownership (ordered by aligned area)</t>
  </si>
  <si>
    <t>Figure 7</t>
  </si>
  <si>
    <t>Stocked area of all conifers by aligned area</t>
  </si>
  <si>
    <t>Stocked area of all broadleaves by aligned area</t>
  </si>
  <si>
    <t>Stocked area of all species by aligned area</t>
  </si>
  <si>
    <t>Clearfelled area summarised by aligned area</t>
  </si>
  <si>
    <t xml:space="preserve">Simplified comparison of mapped area estimates and stocked area estimates </t>
  </si>
  <si>
    <t>Standing volume of all conifers by aligned area</t>
  </si>
  <si>
    <t>Standing volume of all broadleaves by aligned area</t>
  </si>
  <si>
    <t>Standing volume of all species by aligned area</t>
  </si>
  <si>
    <t>Number of measureable trees</t>
  </si>
  <si>
    <t>(thousands)</t>
  </si>
  <si>
    <t>Biomass stocks in live woodland trees</t>
  </si>
  <si>
    <t>biomass (000 odt)</t>
  </si>
  <si>
    <t>Biomass stocks in conifers by aligned area</t>
  </si>
  <si>
    <t>Biomass stocks in broadleaves by aligned area</t>
  </si>
  <si>
    <t>Biomass stocks by aligned area</t>
  </si>
  <si>
    <t>Carbon stocks in live woodland trees</t>
  </si>
  <si>
    <t>carbon (000 t)</t>
  </si>
  <si>
    <t>Carbon stocks in conifers by aligned area</t>
  </si>
  <si>
    <t>Carbon stocks in broadleaves by aligned area</t>
  </si>
  <si>
    <t>Carbon stocks by aligned area</t>
  </si>
  <si>
    <t>Overdue volume - all species</t>
  </si>
  <si>
    <t>Overdue volume</t>
  </si>
  <si>
    <r>
      <t>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</si>
  <si>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Overdue area - all species</t>
  </si>
  <si>
    <t>Overdue area</t>
  </si>
  <si>
    <t>(000 ha)</t>
  </si>
  <si>
    <t>vol</t>
  </si>
  <si>
    <t>all conifers</t>
  </si>
  <si>
    <t>area</t>
  </si>
  <si>
    <t>all broadleaves</t>
  </si>
  <si>
    <t>Overdue volume - all conifers</t>
  </si>
  <si>
    <t>Overdue area - all conifers</t>
  </si>
  <si>
    <t>Overdue volume - all broadleaves</t>
  </si>
  <si>
    <t>Overdue area - all broadleaves</t>
  </si>
  <si>
    <t>Summary of overdue volume in the private sector</t>
  </si>
  <si>
    <t>Summary of overdue area in the private sector</t>
  </si>
  <si>
    <t>Summary of overdue volume in conifers by aligned area</t>
  </si>
  <si>
    <t>Summary of overdue area in conifers by aligned area</t>
  </si>
  <si>
    <t>Summary of overdue volume in broadleaves by aligned area</t>
  </si>
  <si>
    <t>Summary of overdue area in broadleaves by aligned area</t>
  </si>
  <si>
    <t>Summary of overdue volume by aligned area</t>
  </si>
  <si>
    <t>Summary of overdue area by aligned area</t>
  </si>
  <si>
    <t>Evidence of management (PS sections with neither broadleaves nor conifers)</t>
  </si>
  <si>
    <t>mean yield class (weighted by area)</t>
  </si>
  <si>
    <t>25-year softwood forecast showing contribution by aligned area (FC+PS)</t>
  </si>
  <si>
    <t>25-year softwood forecast showing contribution by aligned area (FC)</t>
  </si>
  <si>
    <t>25-year softwood forecast showing contribution by aligned area (PS)</t>
  </si>
  <si>
    <t>25-year softwood forecast by aligned area; average annual volume within period</t>
  </si>
  <si>
    <t>Summary of 25-year forecast of softwood timber availability; average annual volume within period</t>
  </si>
  <si>
    <t>25–year forecast of standing volume in conifers; average annual volume within period</t>
  </si>
  <si>
    <t>25-year forecast of net increment in conifers; average annual volume within period</t>
  </si>
  <si>
    <t>50-year forecast of standing volume in conifers; average annual volume within period</t>
  </si>
  <si>
    <t>50-year forecast of net increment in conifers; average annual volume within period</t>
  </si>
  <si>
    <t>50-year softwood forecast showing contribution by aligned area (FC+PS)</t>
  </si>
  <si>
    <t>50-year softwood forecast showing contribution by aligned area (FC)</t>
  </si>
  <si>
    <t>50-year softwood forecast showing contribution by aligned area (PS)</t>
  </si>
  <si>
    <t>Summary of 50-year forecast of softwood timber availability; average annual volume within period</t>
  </si>
  <si>
    <t>Summary of 50-year forecast of hardwood timber availability; average annual volume within period</t>
  </si>
  <si>
    <t>50–year forecast of hardwood timber availability; average annual volume within period</t>
  </si>
  <si>
    <t>50–year forecast of standing volume in broadleaves; average annual volume within period</t>
  </si>
  <si>
    <t>50–year forecast of net increment in broadleaves; average annual volume within period</t>
  </si>
  <si>
    <t>Figure 77</t>
  </si>
  <si>
    <t>Figure 78</t>
  </si>
  <si>
    <t>50-year hardwood forecast showing contribution by aligned area (FC+PS)</t>
  </si>
  <si>
    <t>50-year hardwood forecast showing contribution by aligned area (FC)</t>
  </si>
  <si>
    <t>50-year hardwood forecast showing contribution by aligned area (PS)</t>
  </si>
  <si>
    <t>50-year softwood forecast by aligned area; average annual volume within period</t>
  </si>
  <si>
    <t>50-year hardwood forecast by aligned area; average annual volume within period</t>
  </si>
  <si>
    <t>Figure 79</t>
  </si>
  <si>
    <t>Figure 80</t>
  </si>
  <si>
    <t>Figure 81</t>
  </si>
  <si>
    <t>Figure 82</t>
  </si>
  <si>
    <t>Figure 83</t>
  </si>
  <si>
    <t>Figure 84</t>
  </si>
  <si>
    <t>Figure 85</t>
  </si>
  <si>
    <t>Tree health - ash</t>
  </si>
  <si>
    <t>Tree health - oak</t>
  </si>
  <si>
    <t>Tree health - sweet chestnut</t>
  </si>
  <si>
    <t>Tree health - larch</t>
  </si>
  <si>
    <t>Ash as a proportion of woodland within aligned areas (based on stocked area)</t>
  </si>
  <si>
    <t>Figure 86</t>
  </si>
  <si>
    <t>Ash as a proportion of woodland within aligned areas (based on standing volume)</t>
  </si>
  <si>
    <t>Figure 87</t>
  </si>
  <si>
    <t>Figure 88</t>
  </si>
  <si>
    <t>Ash as a proportion of woodland within aligned areas (based on number of trees)</t>
  </si>
  <si>
    <t>Figure 89</t>
  </si>
  <si>
    <t>Figure 90</t>
  </si>
  <si>
    <t>Figure 91</t>
  </si>
  <si>
    <t>Figure 92</t>
  </si>
  <si>
    <t>Figure 93</t>
  </si>
  <si>
    <t>Figure 94</t>
  </si>
  <si>
    <t>Figure 95</t>
  </si>
  <si>
    <t>Figure 96</t>
  </si>
  <si>
    <t>Figure 97</t>
  </si>
  <si>
    <t>Figure 98</t>
  </si>
  <si>
    <t>Table 80</t>
  </si>
  <si>
    <t>Table 81</t>
  </si>
  <si>
    <t>Table 82</t>
  </si>
  <si>
    <t>Table 83</t>
  </si>
  <si>
    <t>Table 84</t>
  </si>
  <si>
    <t>Oak as a proportion of woodland within aligned areas (based on stocked area)</t>
  </si>
  <si>
    <t>Table 85</t>
  </si>
  <si>
    <t>Oak as a proportion of woodland within aligned areas (based on standing volume)</t>
  </si>
  <si>
    <t>Oak as a proportion of woodland within aligned areas (based on number of trees)</t>
  </si>
  <si>
    <t>Table 86</t>
  </si>
  <si>
    <t>Table 87</t>
  </si>
  <si>
    <t>Figure 99</t>
  </si>
  <si>
    <t>Figure 100</t>
  </si>
  <si>
    <t>Figure 101</t>
  </si>
  <si>
    <t>Figure 102</t>
  </si>
  <si>
    <t>Figure 103</t>
  </si>
  <si>
    <t>Figure 104</t>
  </si>
  <si>
    <t>Figure 105</t>
  </si>
  <si>
    <t>Figure 106</t>
  </si>
  <si>
    <t>Figure 107</t>
  </si>
  <si>
    <t>Figure 108</t>
  </si>
  <si>
    <t>Table 88</t>
  </si>
  <si>
    <t>Table 89</t>
  </si>
  <si>
    <t>Table 90</t>
  </si>
  <si>
    <t>Table 91</t>
  </si>
  <si>
    <t>Table 92</t>
  </si>
  <si>
    <t>Sweet chestnut as a proportion of woodland within aligned areas (based on stocked area)</t>
  </si>
  <si>
    <t>Table 93</t>
  </si>
  <si>
    <t>Sweet chestnut as a proportion of woodland within aligned areas (based on standing volume)</t>
  </si>
  <si>
    <t>Table 94</t>
  </si>
  <si>
    <t>Table 95</t>
  </si>
  <si>
    <t>Sweet chestnut as a proportion of woodland within aligned areas (based on number of trees)</t>
  </si>
  <si>
    <t>Figure 109</t>
  </si>
  <si>
    <t>Figure 110</t>
  </si>
  <si>
    <t>Figure 111</t>
  </si>
  <si>
    <t>Figure 112</t>
  </si>
  <si>
    <t>Figure 113</t>
  </si>
  <si>
    <t>Figure 114</t>
  </si>
  <si>
    <t>Figure 115</t>
  </si>
  <si>
    <t>Figure 116</t>
  </si>
  <si>
    <t>Figure 117</t>
  </si>
  <si>
    <t>Figure 118</t>
  </si>
  <si>
    <t>Table 96</t>
  </si>
  <si>
    <t>Table 97</t>
  </si>
  <si>
    <t>Table 98</t>
  </si>
  <si>
    <t>Table 99</t>
  </si>
  <si>
    <t>Table 100</t>
  </si>
  <si>
    <t>Table 101</t>
  </si>
  <si>
    <t>Larch as a proportion of woodland</t>
  </si>
  <si>
    <t>Larch as a proportion of woodland within aligned areas (based on stocked area)</t>
  </si>
  <si>
    <t>Table 102</t>
  </si>
  <si>
    <t>Percentage of larch in all broadleaves</t>
  </si>
  <si>
    <t>Table 103</t>
  </si>
  <si>
    <t>Larch as a proportion of woodland within aligned areas (based on standing volume)</t>
  </si>
  <si>
    <t>Larch as a proportion of woodland within aligned areas (based on number of trees)</t>
  </si>
  <si>
    <t>Table 104</t>
  </si>
  <si>
    <t>Numbers of larch trees</t>
  </si>
  <si>
    <t>Numbers of sweet chestnut trees</t>
  </si>
  <si>
    <t>Numbers of oak trees</t>
  </si>
  <si>
    <t>Numbers of ash trees</t>
  </si>
  <si>
    <t>Table 105</t>
  </si>
  <si>
    <t>Appendix</t>
  </si>
  <si>
    <t>Appendix A – Aligned area nomenclature</t>
  </si>
  <si>
    <t>Aligned area long and short names</t>
  </si>
  <si>
    <t>Number of trees of all conifers and all species</t>
  </si>
  <si>
    <t>Standing volume of all conifers and all species</t>
  </si>
  <si>
    <t>Stocked area of all conifers and all species</t>
  </si>
  <si>
    <t>Number of measureable trees by principal tree species</t>
  </si>
  <si>
    <t>Number of measureable conifer trees by aligned area</t>
  </si>
  <si>
    <t>Number of measureable broadleaved trees by aligned area</t>
  </si>
  <si>
    <t>Number of measureable trees by aligned area</t>
  </si>
  <si>
    <t>Number of measureable trees by age class</t>
  </si>
  <si>
    <t>Number of measureable trees by mean stand dbh class</t>
  </si>
  <si>
    <t>B / M / B *</t>
  </si>
  <si>
    <t>Number of trees of all conifer and all species</t>
  </si>
  <si>
    <t>Standing volume of all conifer and all species</t>
  </si>
  <si>
    <t>Stocked area of all conifer and all species</t>
  </si>
  <si>
    <t>Release date: March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</si>
</sst>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164" formatCode="0.0"/>
    <numFmt numFmtId="165" formatCode="0.0%"/>
    <numFmt numFmtId="166" formatCode="#,##0.0"/>
    <numFmt numFmtId="167" formatCode="#,##0;#,##0;&quot;-&quot;;@"/>
    <numFmt numFmtId="168" formatCode="#,##0;\-#,##0;&quot;–&quot;"/>
    <numFmt numFmtId="169" formatCode="#,##0;#,##0;&quot;-&quot;"/>
    <numFmt numFmtId="170" formatCode="#,##0;\-#,##0;&quot;-&quot;"/>
    <numFmt numFmtId="171" formatCode="#,##0.0000"/>
    <numFmt numFmtId="172" formatCode="#,##0_ ;\-#,##0\ "/>
  </numFmts>
  <fonts count="56" x14ac:knownFonts="1">
    <font>
      <sz val="10"/>
      <color theme="1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color indexed="9"/>
      <name val="Verdana"/>
      <family val="2"/>
    </font>
    <font>
      <sz val="10"/>
      <name val="Century Gothic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Century Gothic"/>
      <family val="2"/>
    </font>
    <font>
      <sz val="8"/>
      <color indexed="9"/>
      <name val="Verdana"/>
      <family val="2"/>
    </font>
    <font>
      <b/>
      <sz val="10"/>
      <color indexed="8"/>
      <name val="Verdana"/>
      <family val="2"/>
    </font>
    <font>
      <b/>
      <sz val="10"/>
      <color indexed="9"/>
      <name val="Verdana"/>
      <family val="2"/>
    </font>
    <font>
      <i/>
      <sz val="10"/>
      <color indexed="9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b/>
      <i/>
      <sz val="10"/>
      <color indexed="9"/>
      <name val="Verdana"/>
      <family val="2"/>
    </font>
    <font>
      <vertAlign val="superscript"/>
      <sz val="10"/>
      <color indexed="9"/>
      <name val="Verdana"/>
      <family val="2"/>
    </font>
    <font>
      <b/>
      <sz val="10"/>
      <color rgb="FFFFFFFF"/>
      <name val="Verdana"/>
      <family val="2"/>
    </font>
    <font>
      <sz val="10"/>
      <color rgb="FFFFFFFF"/>
      <name val="Verdana"/>
      <family val="2"/>
    </font>
    <font>
      <i/>
      <sz val="10"/>
      <color theme="0"/>
      <name val="Verdana"/>
      <family val="2"/>
    </font>
    <font>
      <i/>
      <sz val="10"/>
      <color rgb="FFFFFFFF"/>
      <name val="Verdana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57"/>
      <name val="Verdana"/>
      <family val="2"/>
    </font>
    <font>
      <b/>
      <sz val="11"/>
      <color rgb="FFFFFFFF"/>
      <name val="Verdana"/>
      <family val="2"/>
    </font>
    <font>
      <sz val="11"/>
      <color rgb="FFFFFFFF"/>
      <name val="Verdana"/>
      <family val="2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rgb="FF000000"/>
      <name val="Verdana"/>
      <family val="2"/>
    </font>
    <font>
      <b/>
      <sz val="14"/>
      <color rgb="FFFF0000"/>
      <name val="Verdana"/>
      <family val="2"/>
    </font>
    <font>
      <sz val="10"/>
      <color indexed="10"/>
      <name val="Verdana"/>
      <family val="2"/>
    </font>
    <font>
      <i/>
      <sz val="10"/>
      <color theme="1"/>
      <name val="Verdana"/>
      <family val="2"/>
    </font>
    <font>
      <b/>
      <sz val="12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  <font>
      <b/>
      <i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name val="Verdana"/>
      <family val="2"/>
    </font>
    <font>
      <sz val="11"/>
      <name val="Verdana"/>
      <family val="2"/>
    </font>
  </fonts>
  <fills count="67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B9946"/>
        <bgColor indexed="64"/>
      </patternFill>
    </fill>
    <fill>
      <patternFill patternType="solid">
        <fgColor rgb="FF05401A"/>
        <bgColor rgb="FF000000"/>
      </patternFill>
    </fill>
    <fill>
      <patternFill patternType="solid">
        <fgColor rgb="FF05401A"/>
        <bgColor indexed="64"/>
      </patternFill>
    </fill>
    <fill>
      <patternFill patternType="solid">
        <fgColor rgb="FF318C36"/>
        <bgColor rgb="FF000000"/>
      </patternFill>
    </fill>
    <fill>
      <patternFill patternType="solid">
        <fgColor rgb="FFE6E6E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E6E6E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B9946"/>
        <bgColor auto="1"/>
      </patternFill>
    </fill>
    <fill>
      <patternFill patternType="solid">
        <fgColor rgb="FF074F28"/>
        <bgColor indexed="64"/>
      </patternFill>
    </fill>
    <fill>
      <patternFill patternType="lightTrellis">
        <f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6D99F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lightTrellis">
        <fgColor rgb="FFC0C0C0"/>
        <bgColor theme="0" tint="-4.9989318521683403E-2"/>
      </patternFill>
    </fill>
    <fill>
      <patternFill patternType="lightTrellis">
        <fgColor rgb="FFC0C0C0"/>
        <bgColor auto="1"/>
      </patternFill>
    </fill>
    <fill>
      <patternFill patternType="gray125">
        <fgColor theme="0" tint="-0.34998626667073579"/>
        <bgColor theme="0" tint="-4.9989318521683403E-2"/>
      </patternFill>
    </fill>
    <fill>
      <patternFill patternType="solid">
        <fgColor rgb="FF3B9946"/>
        <bgColor rgb="FFEAEAEA"/>
      </patternFill>
    </fill>
    <fill>
      <patternFill patternType="solid">
        <fgColor rgb="FFC0C0C0"/>
        <bgColor rgb="FFEAEAEA"/>
      </patternFill>
    </fill>
    <fill>
      <patternFill patternType="lightTrellis">
        <fgColor rgb="FFEAEAEA"/>
        <bgColor rgb="FFC0C0C0"/>
      </patternFill>
    </fill>
  </fills>
  <borders count="12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0"/>
      </left>
      <right/>
      <top/>
      <bottom/>
      <diagonal/>
    </border>
    <border>
      <left/>
      <right/>
      <top style="medium">
        <color indexed="60"/>
      </top>
      <bottom/>
      <diagonal/>
    </border>
    <border>
      <left/>
      <right style="medium">
        <color indexed="60"/>
      </right>
      <top style="medium">
        <color indexed="60"/>
      </top>
      <bottom/>
      <diagonal/>
    </border>
    <border>
      <left/>
      <right style="medium">
        <color indexed="60"/>
      </right>
      <top/>
      <bottom/>
      <diagonal/>
    </border>
    <border>
      <left style="medium">
        <color indexed="60"/>
      </left>
      <right/>
      <top/>
      <bottom style="medium">
        <color indexed="60"/>
      </bottom>
      <diagonal/>
    </border>
    <border>
      <left/>
      <right/>
      <top/>
      <bottom style="medium">
        <color indexed="60"/>
      </bottom>
      <diagonal/>
    </border>
    <border>
      <left/>
      <right style="medium">
        <color indexed="60"/>
      </right>
      <top/>
      <bottom style="medium">
        <color indexed="60"/>
      </bottom>
      <diagonal/>
    </border>
    <border>
      <left style="medium">
        <color indexed="60"/>
      </left>
      <right/>
      <top style="medium">
        <color indexed="60"/>
      </top>
      <bottom/>
      <diagonal/>
    </border>
    <border>
      <left style="thin">
        <color theme="0"/>
      </left>
      <right/>
      <top style="thin">
        <color theme="0"/>
      </top>
      <bottom style="thin">
        <color indexed="9"/>
      </bottom>
      <diagonal/>
    </border>
    <border>
      <left/>
      <right/>
      <top style="thin">
        <color theme="0"/>
      </top>
      <bottom style="thin">
        <color indexed="9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074F28"/>
      </left>
      <right/>
      <top style="medium">
        <color rgb="FF074F28"/>
      </top>
      <bottom/>
      <diagonal/>
    </border>
    <border>
      <left/>
      <right/>
      <top style="medium">
        <color rgb="FF074F28"/>
      </top>
      <bottom/>
      <diagonal/>
    </border>
    <border>
      <left/>
      <right style="medium">
        <color rgb="FF074F28"/>
      </right>
      <top style="medium">
        <color rgb="FF074F28"/>
      </top>
      <bottom/>
      <diagonal/>
    </border>
    <border>
      <left style="medium">
        <color rgb="FF074F28"/>
      </left>
      <right/>
      <top/>
      <bottom/>
      <diagonal/>
    </border>
    <border>
      <left/>
      <right style="medium">
        <color rgb="FF074F28"/>
      </right>
      <top/>
      <bottom/>
      <diagonal/>
    </border>
    <border>
      <left style="medium">
        <color rgb="FF074F28"/>
      </left>
      <right/>
      <top/>
      <bottom style="medium">
        <color rgb="FF074F28"/>
      </bottom>
      <diagonal/>
    </border>
    <border>
      <left/>
      <right/>
      <top/>
      <bottom style="medium">
        <color rgb="FF074F28"/>
      </bottom>
      <diagonal/>
    </border>
    <border>
      <left/>
      <right style="medium">
        <color rgb="FF074F28"/>
      </right>
      <top/>
      <bottom style="medium">
        <color rgb="FF074F28"/>
      </bottom>
      <diagonal/>
    </border>
    <border>
      <left/>
      <right/>
      <top style="thin">
        <color indexed="60"/>
      </top>
      <bottom/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0"/>
      </right>
      <top style="thin">
        <color indexed="64"/>
      </top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 style="thin">
        <color indexed="60"/>
      </right>
      <top/>
      <bottom style="thin">
        <color indexed="64"/>
      </bottom>
      <diagonal/>
    </border>
    <border>
      <left/>
      <right/>
      <top style="thin">
        <color rgb="FF05401A"/>
      </top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medium">
        <color indexed="60"/>
      </left>
      <right style="thin">
        <color indexed="9"/>
      </right>
      <top style="medium">
        <color indexed="60"/>
      </top>
      <bottom style="thin">
        <color indexed="9"/>
      </bottom>
      <diagonal/>
    </border>
    <border>
      <left style="thin">
        <color indexed="9"/>
      </left>
      <right/>
      <top style="medium">
        <color indexed="60"/>
      </top>
      <bottom style="thin">
        <color indexed="9"/>
      </bottom>
      <diagonal/>
    </border>
    <border>
      <left/>
      <right/>
      <top style="medium">
        <color indexed="60"/>
      </top>
      <bottom style="thin">
        <color indexed="9"/>
      </bottom>
      <diagonal/>
    </border>
    <border>
      <left/>
      <right style="medium">
        <color indexed="60"/>
      </right>
      <top style="medium">
        <color indexed="60"/>
      </top>
      <bottom style="thin">
        <color indexed="9"/>
      </bottom>
      <diagonal/>
    </border>
    <border>
      <left style="medium">
        <color indexed="6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medium">
        <color indexed="60"/>
      </right>
      <top style="thin">
        <color indexed="9"/>
      </top>
      <bottom/>
      <diagonal/>
    </border>
    <border>
      <left style="medium">
        <color indexed="60"/>
      </left>
      <right style="thin">
        <color indexed="60"/>
      </right>
      <top/>
      <bottom/>
      <diagonal/>
    </border>
    <border>
      <left style="medium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 style="thin">
        <color auto="1"/>
      </right>
      <top/>
      <bottom/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 style="thin">
        <color theme="0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0"/>
      </left>
      <right/>
      <top/>
      <bottom style="medium">
        <color auto="1"/>
      </bottom>
      <diagonal/>
    </border>
    <border>
      <left style="medium">
        <color indexed="60"/>
      </left>
      <right style="medium">
        <color auto="1"/>
      </right>
      <top/>
      <bottom style="medium">
        <color auto="1"/>
      </bottom>
      <diagonal/>
    </border>
    <border>
      <left style="medium">
        <color indexed="60"/>
      </left>
      <right style="medium">
        <color indexed="60"/>
      </right>
      <top/>
      <bottom style="medium">
        <color indexed="60"/>
      </bottom>
      <diagonal/>
    </border>
    <border>
      <left style="medium">
        <color indexed="60"/>
      </left>
      <right style="thin">
        <color theme="0"/>
      </right>
      <top/>
      <bottom style="thin">
        <color theme="0"/>
      </bottom>
      <diagonal/>
    </border>
    <border>
      <left style="medium">
        <color indexed="6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0"/>
      </left>
      <right style="thin">
        <color theme="0"/>
      </right>
      <top style="thin">
        <color theme="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 style="medium">
        <color indexed="60"/>
      </top>
      <bottom/>
      <diagonal/>
    </border>
    <border>
      <left style="medium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74F28"/>
      </left>
      <right style="medium">
        <color rgb="FF074F28"/>
      </right>
      <top style="medium">
        <color rgb="FF074F28"/>
      </top>
      <bottom/>
      <diagonal/>
    </border>
    <border>
      <left style="medium">
        <color rgb="FF074F28"/>
      </left>
      <right style="medium">
        <color rgb="FF074F28"/>
      </right>
      <top/>
      <bottom/>
      <diagonal/>
    </border>
    <border>
      <left style="medium">
        <color rgb="FF074F28"/>
      </left>
      <right style="medium">
        <color rgb="FF074F28"/>
      </right>
      <top/>
      <bottom style="thin">
        <color rgb="FF074F28"/>
      </bottom>
      <diagonal/>
    </border>
    <border>
      <left style="medium">
        <color rgb="FF074F28"/>
      </left>
      <right style="medium">
        <color rgb="FF074F28"/>
      </right>
      <top/>
      <bottom style="medium">
        <color rgb="FF074F28"/>
      </bottom>
      <diagonal/>
    </border>
    <border>
      <left style="thin">
        <color theme="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rgb="FFFFFFFF"/>
      </bottom>
      <diagonal/>
    </border>
  </borders>
  <cellStyleXfs count="63">
    <xf numFmtId="0" fontId="0" fillId="0" borderId="0"/>
    <xf numFmtId="9" fontId="3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8" fillId="0" borderId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4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7" fillId="18" borderId="40" applyNumberFormat="0" applyAlignment="0" applyProtection="0"/>
    <xf numFmtId="0" fontId="28" fillId="19" borderId="43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31" fillId="0" borderId="37" applyNumberFormat="0" applyFill="0" applyAlignment="0" applyProtection="0"/>
    <xf numFmtId="0" fontId="32" fillId="0" borderId="38" applyNumberFormat="0" applyFill="0" applyAlignment="0" applyProtection="0"/>
    <xf numFmtId="0" fontId="33" fillId="0" borderId="39" applyNumberFormat="0" applyFill="0" applyAlignment="0" applyProtection="0"/>
    <xf numFmtId="0" fontId="33" fillId="0" borderId="0" applyNumberFormat="0" applyFill="0" applyBorder="0" applyAlignment="0" applyProtection="0"/>
    <xf numFmtId="0" fontId="34" fillId="17" borderId="40" applyNumberFormat="0" applyAlignment="0" applyProtection="0"/>
    <xf numFmtId="0" fontId="35" fillId="0" borderId="42" applyNumberFormat="0" applyFill="0" applyAlignment="0" applyProtection="0"/>
    <xf numFmtId="0" fontId="36" fillId="16" borderId="0" applyNumberFormat="0" applyBorder="0" applyAlignment="0" applyProtection="0"/>
    <xf numFmtId="0" fontId="8" fillId="0" borderId="0"/>
    <xf numFmtId="0" fontId="24" fillId="0" borderId="0"/>
    <xf numFmtId="0" fontId="24" fillId="20" borderId="44" applyNumberFormat="0" applyFont="0" applyAlignment="0" applyProtection="0"/>
    <xf numFmtId="0" fontId="37" fillId="18" borderId="41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10" fillId="0" borderId="0"/>
    <xf numFmtId="0" fontId="1" fillId="0" borderId="0"/>
    <xf numFmtId="0" fontId="3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</cellStyleXfs>
  <cellXfs count="1165">
    <xf numFmtId="0" fontId="0" fillId="0" borderId="0" xfId="0"/>
    <xf numFmtId="0" fontId="8" fillId="4" borderId="3" xfId="0" applyFont="1" applyFill="1" applyBorder="1"/>
    <xf numFmtId="0" fontId="9" fillId="5" borderId="3" xfId="0" applyFont="1" applyFill="1" applyBorder="1"/>
    <xf numFmtId="0" fontId="14" fillId="2" borderId="13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right" vertical="center"/>
    </xf>
    <xf numFmtId="167" fontId="17" fillId="6" borderId="11" xfId="0" applyNumberFormat="1" applyFont="1" applyFill="1" applyBorder="1" applyAlignment="1">
      <alignment horizontal="right" vertical="center"/>
    </xf>
    <xf numFmtId="3" fontId="6" fillId="2" borderId="5" xfId="3" applyNumberFormat="1" applyFont="1" applyFill="1" applyBorder="1" applyAlignment="1">
      <alignment horizontal="center" wrapText="1"/>
    </xf>
    <xf numFmtId="3" fontId="6" fillId="2" borderId="17" xfId="3" applyNumberFormat="1" applyFont="1" applyFill="1" applyBorder="1" applyAlignment="1">
      <alignment horizontal="center" wrapText="1"/>
    </xf>
    <xf numFmtId="4" fontId="6" fillId="2" borderId="8" xfId="2" applyNumberFormat="1" applyFont="1" applyFill="1" applyBorder="1" applyAlignment="1">
      <alignment horizontal="center" wrapText="1"/>
    </xf>
    <xf numFmtId="0" fontId="14" fillId="2" borderId="18" xfId="0" applyFont="1" applyFill="1" applyBorder="1" applyAlignment="1">
      <alignment horizontal="center" vertical="center" wrapText="1"/>
    </xf>
    <xf numFmtId="4" fontId="6" fillId="2" borderId="19" xfId="2" applyNumberFormat="1" applyFont="1" applyFill="1" applyBorder="1" applyAlignment="1">
      <alignment horizontal="center" wrapText="1"/>
    </xf>
    <xf numFmtId="3" fontId="14" fillId="2" borderId="18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3" fontId="6" fillId="2" borderId="6" xfId="3" applyNumberFormat="1" applyFont="1" applyFill="1" applyBorder="1" applyAlignment="1">
      <alignment horizontal="center" vertical="center" wrapText="1"/>
    </xf>
    <xf numFmtId="3" fontId="6" fillId="2" borderId="7" xfId="3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22" fillId="9" borderId="34" xfId="5" applyFont="1" applyFill="1" applyBorder="1" applyAlignment="1">
      <alignment horizontal="right" vertical="center"/>
    </xf>
    <xf numFmtId="0" fontId="14" fillId="2" borderId="18" xfId="5" applyFont="1" applyFill="1" applyBorder="1" applyAlignment="1">
      <alignment horizontal="right" vertical="center" wrapText="1"/>
    </xf>
    <xf numFmtId="0" fontId="14" fillId="3" borderId="2" xfId="5" applyFont="1" applyFill="1" applyBorder="1" applyAlignment="1">
      <alignment horizontal="right" vertical="center"/>
    </xf>
    <xf numFmtId="0" fontId="14" fillId="2" borderId="18" xfId="0" applyFont="1" applyFill="1" applyBorder="1" applyAlignment="1">
      <alignment horizontal="right" vertical="center" wrapText="1"/>
    </xf>
    <xf numFmtId="0" fontId="14" fillId="3" borderId="2" xfId="0" applyFont="1" applyFill="1" applyBorder="1" applyAlignment="1">
      <alignment horizontal="right" vertical="center"/>
    </xf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Alignment="1">
      <alignment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6" fillId="2" borderId="1" xfId="3" applyNumberFormat="1" applyFont="1" applyFill="1" applyBorder="1" applyAlignment="1">
      <alignment horizontal="center" vertical="center"/>
    </xf>
    <xf numFmtId="4" fontId="6" fillId="2" borderId="4" xfId="2" applyNumberFormat="1" applyFont="1" applyFill="1" applyBorder="1" applyAlignment="1">
      <alignment horizontal="center" vertical="center" wrapText="1"/>
    </xf>
    <xf numFmtId="4" fontId="6" fillId="2" borderId="1" xfId="2" applyNumberFormat="1" applyFont="1" applyFill="1" applyBorder="1" applyAlignment="1">
      <alignment horizontal="center" vertical="center" wrapText="1"/>
    </xf>
    <xf numFmtId="3" fontId="6" fillId="2" borderId="10" xfId="3" applyNumberFormat="1" applyFont="1" applyFill="1" applyBorder="1" applyAlignment="1">
      <alignment horizontal="center" vertical="center" wrapText="1"/>
    </xf>
    <xf numFmtId="3" fontId="6" fillId="2" borderId="13" xfId="3" applyNumberFormat="1" applyFont="1" applyFill="1" applyBorder="1" applyAlignment="1">
      <alignment horizontal="center" vertical="center" wrapText="1"/>
    </xf>
    <xf numFmtId="3" fontId="6" fillId="2" borderId="15" xfId="3" applyNumberFormat="1" applyFont="1" applyFill="1" applyBorder="1" applyAlignment="1">
      <alignment horizontal="center" vertical="center" wrapText="1"/>
    </xf>
    <xf numFmtId="4" fontId="6" fillId="2" borderId="13" xfId="2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3" fontId="6" fillId="2" borderId="5" xfId="3" applyNumberFormat="1" applyFont="1" applyFill="1" applyBorder="1" applyAlignment="1">
      <alignment horizontal="center" vertical="center" wrapText="1"/>
    </xf>
    <xf numFmtId="3" fontId="6" fillId="2" borderId="12" xfId="3" applyNumberFormat="1" applyFont="1" applyFill="1" applyBorder="1" applyAlignment="1">
      <alignment horizontal="center" vertical="center" wrapText="1"/>
    </xf>
    <xf numFmtId="3" fontId="6" fillId="2" borderId="14" xfId="3" applyNumberFormat="1" applyFont="1" applyFill="1" applyBorder="1" applyAlignment="1">
      <alignment horizontal="center" vertical="center"/>
    </xf>
    <xf numFmtId="3" fontId="8" fillId="4" borderId="10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horizontal="right" vertical="center"/>
    </xf>
    <xf numFmtId="3" fontId="0" fillId="4" borderId="13" xfId="0" applyNumberFormat="1" applyFill="1" applyBorder="1" applyAlignment="1">
      <alignment horizontal="right" vertical="center"/>
    </xf>
    <xf numFmtId="3" fontId="9" fillId="4" borderId="15" xfId="0" applyNumberFormat="1" applyFont="1" applyFill="1" applyBorder="1" applyAlignment="1">
      <alignment horizontal="right" vertical="center"/>
    </xf>
    <xf numFmtId="3" fontId="8" fillId="4" borderId="30" xfId="3" applyNumberFormat="1" applyFont="1" applyFill="1" applyBorder="1" applyAlignment="1">
      <alignment vertical="center"/>
    </xf>
    <xf numFmtId="3" fontId="8" fillId="4" borderId="31" xfId="3" applyNumberFormat="1" applyFont="1" applyFill="1" applyBorder="1" applyAlignment="1">
      <alignment horizontal="right" vertical="center"/>
    </xf>
    <xf numFmtId="3" fontId="0" fillId="4" borderId="31" xfId="0" applyNumberFormat="1" applyFill="1" applyBorder="1" applyAlignment="1">
      <alignment horizontal="right" vertical="center"/>
    </xf>
    <xf numFmtId="3" fontId="9" fillId="4" borderId="32" xfId="0" applyNumberFormat="1" applyFont="1" applyFill="1" applyBorder="1" applyAlignment="1">
      <alignment horizontal="right" vertical="center"/>
    </xf>
    <xf numFmtId="166" fontId="9" fillId="5" borderId="4" xfId="3" applyNumberFormat="1" applyFont="1" applyFill="1" applyBorder="1" applyAlignment="1">
      <alignment horizontal="right" vertical="center"/>
    </xf>
    <xf numFmtId="3" fontId="16" fillId="5" borderId="4" xfId="3" applyNumberFormat="1" applyFont="1" applyFill="1" applyBorder="1" applyAlignment="1">
      <alignment horizontal="right" vertical="center"/>
    </xf>
    <xf numFmtId="166" fontId="9" fillId="5" borderId="1" xfId="3" applyNumberFormat="1" applyFont="1" applyFill="1" applyBorder="1" applyAlignment="1">
      <alignment horizontal="right" vertical="center"/>
    </xf>
    <xf numFmtId="166" fontId="9" fillId="5" borderId="10" xfId="0" applyNumberFormat="1" applyFont="1" applyFill="1" applyBorder="1" applyAlignment="1">
      <alignment vertical="center"/>
    </xf>
    <xf numFmtId="166" fontId="9" fillId="5" borderId="13" xfId="0" applyNumberFormat="1" applyFont="1" applyFill="1" applyBorder="1" applyAlignment="1">
      <alignment vertical="center"/>
    </xf>
    <xf numFmtId="1" fontId="9" fillId="5" borderId="13" xfId="1" applyNumberFormat="1" applyFont="1" applyFill="1" applyBorder="1" applyAlignment="1">
      <alignment vertical="center"/>
    </xf>
    <xf numFmtId="1" fontId="9" fillId="5" borderId="15" xfId="1" applyNumberFormat="1" applyFont="1" applyFill="1" applyBorder="1" applyAlignment="1">
      <alignment vertical="center"/>
    </xf>
    <xf numFmtId="166" fontId="8" fillId="4" borderId="4" xfId="3" applyNumberFormat="1" applyFont="1" applyFill="1" applyBorder="1" applyAlignment="1">
      <alignment horizontal="right" vertical="center"/>
    </xf>
    <xf numFmtId="170" fontId="15" fillId="4" borderId="4" xfId="3" applyNumberFormat="1" applyFont="1" applyFill="1" applyBorder="1" applyAlignment="1">
      <alignment horizontal="right" vertical="center"/>
    </xf>
    <xf numFmtId="166" fontId="8" fillId="4" borderId="10" xfId="3" applyNumberFormat="1" applyFont="1" applyFill="1" applyBorder="1" applyAlignment="1">
      <alignment horizontal="right" vertical="center"/>
    </xf>
    <xf numFmtId="166" fontId="8" fillId="4" borderId="13" xfId="3" applyNumberFormat="1" applyFont="1" applyFill="1" applyBorder="1" applyAlignment="1">
      <alignment horizontal="right" vertical="center"/>
    </xf>
    <xf numFmtId="3" fontId="8" fillId="4" borderId="15" xfId="3" applyNumberFormat="1" applyFont="1" applyFill="1" applyBorder="1" applyAlignment="1">
      <alignment horizontal="right" vertical="center"/>
    </xf>
    <xf numFmtId="166" fontId="8" fillId="4" borderId="31" xfId="3" applyNumberFormat="1" applyFont="1" applyFill="1" applyBorder="1" applyAlignment="1">
      <alignment horizontal="right" vertical="center"/>
    </xf>
    <xf numFmtId="3" fontId="9" fillId="5" borderId="4" xfId="3" applyNumberFormat="1" applyFont="1" applyFill="1" applyBorder="1" applyAlignment="1">
      <alignment horizontal="right" vertical="center"/>
    </xf>
    <xf numFmtId="3" fontId="9" fillId="5" borderId="1" xfId="3" applyNumberFormat="1" applyFont="1" applyFill="1" applyBorder="1" applyAlignment="1">
      <alignment horizontal="right" vertical="center"/>
    </xf>
    <xf numFmtId="3" fontId="9" fillId="5" borderId="10" xfId="0" applyNumberFormat="1" applyFont="1" applyFill="1" applyBorder="1" applyAlignment="1">
      <alignment vertical="center"/>
    </xf>
    <xf numFmtId="3" fontId="9" fillId="5" borderId="13" xfId="0" applyNumberFormat="1" applyFont="1" applyFill="1" applyBorder="1" applyAlignment="1">
      <alignment vertical="center"/>
    </xf>
    <xf numFmtId="3" fontId="8" fillId="4" borderId="4" xfId="3" applyNumberFormat="1" applyFont="1" applyFill="1" applyBorder="1" applyAlignment="1">
      <alignment horizontal="right" vertical="center"/>
    </xf>
    <xf numFmtId="3" fontId="8" fillId="4" borderId="10" xfId="3" applyNumberFormat="1" applyFont="1" applyFill="1" applyBorder="1" applyAlignment="1">
      <alignment horizontal="right" vertical="center"/>
    </xf>
    <xf numFmtId="4" fontId="6" fillId="3" borderId="2" xfId="2" applyNumberFormat="1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4" fontId="6" fillId="3" borderId="3" xfId="2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166" fontId="9" fillId="5" borderId="4" xfId="0" applyNumberFormat="1" applyFont="1" applyFill="1" applyBorder="1" applyAlignment="1">
      <alignment vertical="center"/>
    </xf>
    <xf numFmtId="3" fontId="6" fillId="2" borderId="36" xfId="3" applyNumberFormat="1" applyFont="1" applyFill="1" applyBorder="1" applyAlignment="1">
      <alignment horizontal="center" vertical="center" wrapText="1"/>
    </xf>
    <xf numFmtId="4" fontId="6" fillId="2" borderId="8" xfId="2" applyNumberFormat="1" applyFont="1" applyFill="1" applyBorder="1" applyAlignment="1">
      <alignment horizontal="center" vertical="center" wrapText="1"/>
    </xf>
    <xf numFmtId="166" fontId="9" fillId="4" borderId="1" xfId="3" applyNumberFormat="1" applyFont="1" applyFill="1" applyBorder="1" applyAlignment="1">
      <alignment horizontal="right" vertical="center"/>
    </xf>
    <xf numFmtId="3" fontId="9" fillId="4" borderId="1" xfId="3" applyNumberFormat="1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left" vertical="center"/>
    </xf>
    <xf numFmtId="16" fontId="8" fillId="4" borderId="4" xfId="0" quotePrefix="1" applyNumberFormat="1" applyFont="1" applyFill="1" applyBorder="1" applyAlignment="1">
      <alignment horizontal="left" vertical="center"/>
    </xf>
    <xf numFmtId="17" fontId="8" fillId="4" borderId="4" xfId="0" quotePrefix="1" applyNumberFormat="1" applyFont="1" applyFill="1" applyBorder="1" applyAlignment="1">
      <alignment horizontal="left" vertical="center"/>
    </xf>
    <xf numFmtId="0" fontId="8" fillId="4" borderId="4" xfId="5" applyFont="1" applyFill="1" applyBorder="1" applyAlignment="1">
      <alignment horizontal="left" vertical="center"/>
    </xf>
    <xf numFmtId="17" fontId="8" fillId="4" borderId="4" xfId="5" quotePrefix="1" applyNumberFormat="1" applyFont="1" applyFill="1" applyBorder="1" applyAlignment="1">
      <alignment horizontal="left" vertical="center"/>
    </xf>
    <xf numFmtId="0" fontId="9" fillId="5" borderId="4" xfId="5" applyFont="1" applyFill="1" applyBorder="1" applyAlignment="1">
      <alignment horizontal="left" vertical="center"/>
    </xf>
    <xf numFmtId="0" fontId="14" fillId="2" borderId="18" xfId="5" applyFont="1" applyFill="1" applyBorder="1" applyAlignment="1">
      <alignment horizontal="center" vertical="center" wrapText="1"/>
    </xf>
    <xf numFmtId="3" fontId="0" fillId="4" borderId="4" xfId="0" applyNumberFormat="1" applyFill="1" applyBorder="1" applyAlignment="1">
      <alignment horizontal="right" vertical="center"/>
    </xf>
    <xf numFmtId="0" fontId="9" fillId="5" borderId="4" xfId="0" applyFont="1" applyFill="1" applyBorder="1" applyAlignment="1">
      <alignment horizontal="left" vertical="center"/>
    </xf>
    <xf numFmtId="3" fontId="9" fillId="5" borderId="4" xfId="0" applyNumberFormat="1" applyFont="1" applyFill="1" applyBorder="1" applyAlignment="1">
      <alignment vertical="center"/>
    </xf>
    <xf numFmtId="3" fontId="20" fillId="7" borderId="26" xfId="3" applyNumberFormat="1" applyFont="1" applyFill="1" applyBorder="1" applyAlignment="1">
      <alignment horizontal="center" vertical="center" wrapText="1"/>
    </xf>
    <xf numFmtId="3" fontId="20" fillId="7" borderId="33" xfId="3" applyNumberFormat="1" applyFont="1" applyFill="1" applyBorder="1" applyAlignment="1">
      <alignment horizontal="center" vertical="center" wrapText="1"/>
    </xf>
    <xf numFmtId="4" fontId="20" fillId="7" borderId="25" xfId="2" applyNumberFormat="1" applyFont="1" applyFill="1" applyBorder="1" applyAlignment="1">
      <alignment horizontal="center" vertical="center" wrapText="1"/>
    </xf>
    <xf numFmtId="4" fontId="20" fillId="9" borderId="34" xfId="2" applyNumberFormat="1" applyFont="1" applyFill="1" applyBorder="1" applyAlignment="1">
      <alignment vertical="center"/>
    </xf>
    <xf numFmtId="4" fontId="20" fillId="9" borderId="35" xfId="2" applyNumberFormat="1" applyFont="1" applyFill="1" applyBorder="1" applyAlignment="1">
      <alignment vertical="center"/>
    </xf>
    <xf numFmtId="0" fontId="22" fillId="9" borderId="34" xfId="0" applyFont="1" applyFill="1" applyBorder="1" applyAlignment="1">
      <alignment vertical="center"/>
    </xf>
    <xf numFmtId="0" fontId="8" fillId="10" borderId="23" xfId="0" applyFont="1" applyFill="1" applyBorder="1" applyAlignment="1">
      <alignment vertical="center"/>
    </xf>
    <xf numFmtId="16" fontId="8" fillId="10" borderId="23" xfId="0" quotePrefix="1" applyNumberFormat="1" applyFont="1" applyFill="1" applyBorder="1" applyAlignment="1">
      <alignment vertical="center"/>
    </xf>
    <xf numFmtId="17" fontId="8" fillId="10" borderId="23" xfId="0" quotePrefix="1" applyNumberFormat="1" applyFont="1" applyFill="1" applyBorder="1" applyAlignment="1">
      <alignment vertical="center"/>
    </xf>
    <xf numFmtId="0" fontId="9" fillId="11" borderId="23" xfId="0" applyFont="1" applyFill="1" applyBorder="1" applyAlignment="1">
      <alignment vertical="center"/>
    </xf>
    <xf numFmtId="0" fontId="22" fillId="7" borderId="29" xfId="0" applyFont="1" applyFill="1" applyBorder="1" applyAlignment="1">
      <alignment horizontal="center" vertical="center" wrapText="1"/>
    </xf>
    <xf numFmtId="0" fontId="8" fillId="10" borderId="23" xfId="5" applyFont="1" applyFill="1" applyBorder="1" applyAlignment="1">
      <alignment horizontal="left" vertical="center"/>
    </xf>
    <xf numFmtId="17" fontId="8" fillId="10" borderId="23" xfId="5" quotePrefix="1" applyNumberFormat="1" applyFont="1" applyFill="1" applyBorder="1" applyAlignment="1">
      <alignment horizontal="left" vertical="center"/>
    </xf>
    <xf numFmtId="0" fontId="9" fillId="11" borderId="23" xfId="5" applyFont="1" applyFill="1" applyBorder="1" applyAlignment="1">
      <alignment horizontal="left" vertical="center"/>
    </xf>
    <xf numFmtId="166" fontId="9" fillId="11" borderId="23" xfId="5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right" vertical="center"/>
    </xf>
    <xf numFmtId="170" fontId="15" fillId="3" borderId="2" xfId="0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vertical="center"/>
    </xf>
    <xf numFmtId="3" fontId="9" fillId="5" borderId="4" xfId="4" applyNumberFormat="1" applyFont="1" applyFill="1" applyBorder="1" applyAlignment="1">
      <alignment horizontal="right" vertical="center"/>
    </xf>
    <xf numFmtId="0" fontId="8" fillId="4" borderId="3" xfId="0" applyFont="1" applyFill="1" applyBorder="1" applyAlignment="1">
      <alignment vertical="center"/>
    </xf>
    <xf numFmtId="3" fontId="8" fillId="4" borderId="4" xfId="4" applyNumberFormat="1" applyFont="1" applyFill="1" applyBorder="1" applyAlignment="1">
      <alignment horizontal="right" vertical="center"/>
    </xf>
    <xf numFmtId="170" fontId="15" fillId="4" borderId="4" xfId="4" applyNumberFormat="1" applyFont="1" applyFill="1" applyBorder="1" applyAlignment="1">
      <alignment horizontal="right" vertical="center"/>
    </xf>
    <xf numFmtId="170" fontId="15" fillId="4" borderId="1" xfId="4" applyNumberFormat="1" applyFont="1" applyFill="1" applyBorder="1" applyAlignment="1">
      <alignment horizontal="right" vertical="center"/>
    </xf>
    <xf numFmtId="0" fontId="8" fillId="4" borderId="8" xfId="0" applyFont="1" applyFill="1" applyBorder="1" applyAlignment="1">
      <alignment vertical="center"/>
    </xf>
    <xf numFmtId="3" fontId="8" fillId="4" borderId="18" xfId="4" applyNumberFormat="1" applyFont="1" applyFill="1" applyBorder="1" applyAlignment="1">
      <alignment horizontal="right" vertical="center"/>
    </xf>
    <xf numFmtId="170" fontId="15" fillId="4" borderId="18" xfId="4" applyNumberFormat="1" applyFont="1" applyFill="1" applyBorder="1" applyAlignment="1">
      <alignment horizontal="right" vertical="center"/>
    </xf>
    <xf numFmtId="170" fontId="15" fillId="4" borderId="20" xfId="4" applyNumberFormat="1" applyFont="1" applyFill="1" applyBorder="1" applyAlignment="1">
      <alignment horizontal="right" vertical="center"/>
    </xf>
    <xf numFmtId="0" fontId="22" fillId="7" borderId="29" xfId="5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vertical="center"/>
    </xf>
    <xf numFmtId="170" fontId="16" fillId="5" borderId="4" xfId="4" applyNumberFormat="1" applyFont="1" applyFill="1" applyBorder="1" applyAlignment="1">
      <alignment horizontal="right" vertical="center"/>
    </xf>
    <xf numFmtId="170" fontId="16" fillId="5" borderId="1" xfId="4" applyNumberFormat="1" applyFont="1" applyFill="1" applyBorder="1" applyAlignment="1">
      <alignment horizontal="right" vertical="center"/>
    </xf>
    <xf numFmtId="41" fontId="8" fillId="3" borderId="2" xfId="0" applyNumberFormat="1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170" fontId="8" fillId="3" borderId="2" xfId="0" applyNumberFormat="1" applyFont="1" applyFill="1" applyBorder="1" applyAlignment="1">
      <alignment vertical="center"/>
    </xf>
    <xf numFmtId="1" fontId="8" fillId="3" borderId="2" xfId="0" applyNumberFormat="1" applyFont="1" applyFill="1" applyBorder="1" applyAlignment="1">
      <alignment vertical="center"/>
    </xf>
    <xf numFmtId="3" fontId="9" fillId="5" borderId="4" xfId="4" applyNumberFormat="1" applyFont="1" applyFill="1" applyBorder="1" applyAlignment="1">
      <alignment vertical="center"/>
    </xf>
    <xf numFmtId="170" fontId="16" fillId="5" borderId="4" xfId="4" applyNumberFormat="1" applyFont="1" applyFill="1" applyBorder="1" applyAlignment="1">
      <alignment vertical="center"/>
    </xf>
    <xf numFmtId="170" fontId="15" fillId="4" borderId="4" xfId="4" applyNumberFormat="1" applyFont="1" applyFill="1" applyBorder="1" applyAlignment="1">
      <alignment vertical="center"/>
    </xf>
    <xf numFmtId="170" fontId="15" fillId="4" borderId="18" xfId="4" applyNumberFormat="1" applyFont="1" applyFill="1" applyBorder="1" applyAlignment="1">
      <alignment vertical="center"/>
    </xf>
    <xf numFmtId="0" fontId="6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vertical="center"/>
    </xf>
    <xf numFmtId="0" fontId="8" fillId="4" borderId="10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170" fontId="15" fillId="3" borderId="11" xfId="0" applyNumberFormat="1" applyFont="1" applyFill="1" applyBorder="1" applyAlignment="1">
      <alignment vertical="center"/>
    </xf>
    <xf numFmtId="3" fontId="6" fillId="3" borderId="11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3" fontId="0" fillId="4" borderId="13" xfId="0" applyNumberFormat="1" applyFill="1" applyBorder="1" applyAlignment="1">
      <alignment vertical="center"/>
    </xf>
    <xf numFmtId="3" fontId="9" fillId="4" borderId="15" xfId="0" applyNumberFormat="1" applyFont="1" applyFill="1" applyBorder="1" applyAlignment="1">
      <alignment vertical="center"/>
    </xf>
    <xf numFmtId="3" fontId="9" fillId="4" borderId="32" xfId="0" applyNumberFormat="1" applyFont="1" applyFill="1" applyBorder="1" applyAlignment="1">
      <alignment vertical="center"/>
    </xf>
    <xf numFmtId="0" fontId="6" fillId="3" borderId="2" xfId="3" applyNumberFormat="1" applyFont="1" applyFill="1" applyBorder="1" applyAlignment="1">
      <alignment horizontal="left" vertical="center"/>
    </xf>
    <xf numFmtId="0" fontId="8" fillId="4" borderId="10" xfId="3" applyNumberFormat="1" applyFont="1" applyFill="1" applyBorder="1" applyAlignment="1">
      <alignment vertical="center"/>
    </xf>
    <xf numFmtId="0" fontId="8" fillId="4" borderId="30" xfId="3" applyNumberFormat="1" applyFont="1" applyFill="1" applyBorder="1" applyAlignment="1">
      <alignment vertical="center"/>
    </xf>
    <xf numFmtId="0" fontId="6" fillId="3" borderId="11" xfId="3" applyNumberFormat="1" applyFont="1" applyFill="1" applyBorder="1" applyAlignment="1">
      <alignment vertical="center"/>
    </xf>
    <xf numFmtId="0" fontId="8" fillId="3" borderId="11" xfId="0" applyNumberFormat="1" applyFont="1" applyFill="1" applyBorder="1" applyAlignment="1">
      <alignment vertical="center"/>
    </xf>
    <xf numFmtId="3" fontId="8" fillId="4" borderId="3" xfId="3" applyNumberFormat="1" applyFont="1" applyFill="1" applyBorder="1" applyAlignment="1">
      <alignment vertical="center"/>
    </xf>
    <xf numFmtId="3" fontId="8" fillId="4" borderId="8" xfId="3" applyNumberFormat="1" applyFont="1" applyFill="1" applyBorder="1" applyAlignment="1">
      <alignment vertical="center"/>
    </xf>
    <xf numFmtId="168" fontId="15" fillId="4" borderId="13" xfId="0" applyNumberFormat="1" applyFont="1" applyFill="1" applyBorder="1" applyAlignment="1">
      <alignment horizontal="right" vertical="center"/>
    </xf>
    <xf numFmtId="168" fontId="15" fillId="4" borderId="31" xfId="0" applyNumberFormat="1" applyFont="1" applyFill="1" applyBorder="1" applyAlignment="1">
      <alignment horizontal="right" vertical="center"/>
    </xf>
    <xf numFmtId="0" fontId="0" fillId="0" borderId="0" xfId="0" applyFont="1"/>
    <xf numFmtId="0" fontId="21" fillId="8" borderId="13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vertical="center"/>
    </xf>
    <xf numFmtId="0" fontId="4" fillId="6" borderId="11" xfId="0" applyFont="1" applyFill="1" applyBorder="1" applyAlignment="1">
      <alignment vertical="center"/>
    </xf>
    <xf numFmtId="168" fontId="15" fillId="12" borderId="13" xfId="0" applyNumberFormat="1" applyFont="1" applyFill="1" applyBorder="1" applyAlignment="1">
      <alignment vertical="center"/>
    </xf>
    <xf numFmtId="168" fontId="16" fillId="13" borderId="13" xfId="0" applyNumberFormat="1" applyFont="1" applyFill="1" applyBorder="1" applyAlignment="1">
      <alignment vertical="center"/>
    </xf>
    <xf numFmtId="168" fontId="15" fillId="12" borderId="31" xfId="0" applyNumberFormat="1" applyFont="1" applyFill="1" applyBorder="1" applyAlignment="1">
      <alignment vertical="center"/>
    </xf>
    <xf numFmtId="0" fontId="9" fillId="13" borderId="10" xfId="0" applyFont="1" applyFill="1" applyBorder="1" applyAlignment="1">
      <alignment vertical="center"/>
    </xf>
    <xf numFmtId="41" fontId="9" fillId="13" borderId="13" xfId="4" applyNumberFormat="1" applyFont="1" applyFill="1" applyBorder="1" applyAlignment="1">
      <alignment horizontal="right" vertical="center"/>
    </xf>
    <xf numFmtId="168" fontId="16" fillId="13" borderId="15" xfId="0" applyNumberFormat="1" applyFont="1" applyFill="1" applyBorder="1" applyAlignment="1">
      <alignment vertical="center"/>
    </xf>
    <xf numFmtId="0" fontId="8" fillId="12" borderId="10" xfId="0" applyFont="1" applyFill="1" applyBorder="1" applyAlignment="1">
      <alignment vertical="center"/>
    </xf>
    <xf numFmtId="41" fontId="8" fillId="12" borderId="13" xfId="4" applyNumberFormat="1" applyFont="1" applyFill="1" applyBorder="1" applyAlignment="1">
      <alignment horizontal="right" vertical="center"/>
    </xf>
    <xf numFmtId="168" fontId="15" fillId="12" borderId="15" xfId="0" applyNumberFormat="1" applyFont="1" applyFill="1" applyBorder="1" applyAlignment="1">
      <alignment vertical="center"/>
    </xf>
    <xf numFmtId="0" fontId="8" fillId="12" borderId="30" xfId="0" applyFont="1" applyFill="1" applyBorder="1" applyAlignment="1">
      <alignment vertical="center"/>
    </xf>
    <xf numFmtId="41" fontId="8" fillId="12" borderId="31" xfId="4" applyNumberFormat="1" applyFont="1" applyFill="1" applyBorder="1" applyAlignment="1">
      <alignment horizontal="right" vertical="center"/>
    </xf>
    <xf numFmtId="168" fontId="15" fillId="12" borderId="32" xfId="0" applyNumberFormat="1" applyFont="1" applyFill="1" applyBorder="1" applyAlignment="1">
      <alignment vertical="center"/>
    </xf>
    <xf numFmtId="0" fontId="8" fillId="3" borderId="11" xfId="0" applyFont="1" applyFill="1" applyBorder="1" applyAlignment="1">
      <alignment horizontal="right" vertical="center"/>
    </xf>
    <xf numFmtId="17" fontId="20" fillId="46" borderId="23" xfId="0" applyNumberFormat="1" applyFont="1" applyFill="1" applyBorder="1" applyAlignment="1">
      <alignment horizontal="center" vertical="center"/>
    </xf>
    <xf numFmtId="0" fontId="20" fillId="46" borderId="23" xfId="0" applyFont="1" applyFill="1" applyBorder="1" applyAlignment="1">
      <alignment horizontal="center" vertical="center"/>
    </xf>
    <xf numFmtId="0" fontId="20" fillId="46" borderId="24" xfId="0" applyFont="1" applyFill="1" applyBorder="1" applyAlignment="1">
      <alignment horizontal="center" vertical="center"/>
    </xf>
    <xf numFmtId="0" fontId="20" fillId="46" borderId="28" xfId="0" applyFont="1" applyFill="1" applyBorder="1" applyAlignment="1">
      <alignment horizontal="center" vertical="center"/>
    </xf>
    <xf numFmtId="0" fontId="6" fillId="3" borderId="11" xfId="3" applyNumberFormat="1" applyFont="1" applyFill="1" applyBorder="1" applyAlignment="1">
      <alignment horizontal="left" vertical="center"/>
    </xf>
    <xf numFmtId="0" fontId="6" fillId="46" borderId="13" xfId="0" applyFont="1" applyFill="1" applyBorder="1" applyAlignment="1">
      <alignment horizontal="center" vertical="center" wrapText="1"/>
    </xf>
    <xf numFmtId="3" fontId="6" fillId="46" borderId="12" xfId="3" applyNumberFormat="1" applyFont="1" applyFill="1" applyBorder="1" applyAlignment="1">
      <alignment horizontal="center" vertical="center" wrapText="1"/>
    </xf>
    <xf numFmtId="3" fontId="14" fillId="46" borderId="15" xfId="3" applyNumberFormat="1" applyFont="1" applyFill="1" applyBorder="1" applyAlignment="1">
      <alignment horizontal="center" vertical="center" wrapText="1"/>
    </xf>
    <xf numFmtId="3" fontId="8" fillId="12" borderId="10" xfId="3" applyNumberFormat="1" applyFont="1" applyFill="1" applyBorder="1" applyAlignment="1">
      <alignment vertical="center"/>
    </xf>
    <xf numFmtId="169" fontId="15" fillId="12" borderId="15" xfId="0" applyNumberFormat="1" applyFont="1" applyFill="1" applyBorder="1" applyAlignment="1">
      <alignment horizontal="right" vertical="center"/>
    </xf>
    <xf numFmtId="3" fontId="9" fillId="13" borderId="30" xfId="3" applyNumberFormat="1" applyFont="1" applyFill="1" applyBorder="1" applyAlignment="1">
      <alignment vertical="center"/>
    </xf>
    <xf numFmtId="4" fontId="6" fillId="46" borderId="10" xfId="2" applyNumberFormat="1" applyFont="1" applyFill="1" applyBorder="1" applyAlignment="1">
      <alignment horizontal="center" vertical="center" wrapText="1"/>
    </xf>
    <xf numFmtId="4" fontId="6" fillId="46" borderId="13" xfId="2" applyNumberFormat="1" applyFont="1" applyFill="1" applyBorder="1" applyAlignment="1">
      <alignment horizontal="center" vertical="center" wrapText="1"/>
    </xf>
    <xf numFmtId="0" fontId="14" fillId="46" borderId="15" xfId="0" applyFont="1" applyFill="1" applyBorder="1" applyAlignment="1">
      <alignment horizontal="center" vertical="center" wrapText="1"/>
    </xf>
    <xf numFmtId="166" fontId="8" fillId="12" borderId="10" xfId="0" applyNumberFormat="1" applyFont="1" applyFill="1" applyBorder="1" applyAlignment="1">
      <alignment horizontal="right" vertical="center"/>
    </xf>
    <xf numFmtId="166" fontId="8" fillId="12" borderId="13" xfId="0" applyNumberFormat="1" applyFont="1" applyFill="1" applyBorder="1" applyAlignment="1">
      <alignment horizontal="right" vertical="center"/>
    </xf>
    <xf numFmtId="166" fontId="9" fillId="13" borderId="30" xfId="0" applyNumberFormat="1" applyFont="1" applyFill="1" applyBorder="1" applyAlignment="1">
      <alignment horizontal="right" vertical="center"/>
    </xf>
    <xf numFmtId="166" fontId="9" fillId="13" borderId="31" xfId="0" applyNumberFormat="1" applyFont="1" applyFill="1" applyBorder="1" applyAlignment="1">
      <alignment horizontal="right" vertical="center"/>
    </xf>
    <xf numFmtId="3" fontId="6" fillId="6" borderId="11" xfId="3" applyNumberFormat="1" applyFont="1" applyFill="1" applyBorder="1" applyAlignment="1">
      <alignment vertical="center"/>
    </xf>
    <xf numFmtId="0" fontId="6" fillId="6" borderId="11" xfId="0" applyFont="1" applyFill="1" applyBorder="1" applyAlignment="1">
      <alignment vertical="center" wrapText="1"/>
    </xf>
    <xf numFmtId="3" fontId="14" fillId="6" borderId="11" xfId="3" applyNumberFormat="1" applyFont="1" applyFill="1" applyBorder="1" applyAlignment="1">
      <alignment vertical="center" wrapText="1"/>
    </xf>
    <xf numFmtId="4" fontId="6" fillId="6" borderId="11" xfId="2" applyNumberFormat="1" applyFont="1" applyFill="1" applyBorder="1" applyAlignment="1">
      <alignment vertical="center" wrapText="1"/>
    </xf>
    <xf numFmtId="0" fontId="14" fillId="6" borderId="11" xfId="0" applyFont="1" applyFill="1" applyBorder="1" applyAlignment="1">
      <alignment vertical="center" wrapText="1"/>
    </xf>
    <xf numFmtId="169" fontId="16" fillId="13" borderId="32" xfId="0" applyNumberFormat="1" applyFont="1" applyFill="1" applyBorder="1" applyAlignment="1">
      <alignment horizontal="right" vertical="center"/>
    </xf>
    <xf numFmtId="0" fontId="13" fillId="3" borderId="11" xfId="3" applyNumberFormat="1" applyFont="1" applyFill="1" applyBorder="1" applyAlignment="1">
      <alignment vertical="center"/>
    </xf>
    <xf numFmtId="3" fontId="8" fillId="3" borderId="2" xfId="0" applyNumberFormat="1" applyFont="1" applyFill="1" applyBorder="1" applyAlignment="1">
      <alignment horizontal="right" vertical="center"/>
    </xf>
    <xf numFmtId="41" fontId="8" fillId="3" borderId="2" xfId="4" applyNumberFormat="1" applyFont="1" applyFill="1" applyBorder="1" applyAlignment="1">
      <alignment horizontal="right" vertical="center"/>
    </xf>
    <xf numFmtId="17" fontId="8" fillId="12" borderId="10" xfId="0" quotePrefix="1" applyNumberFormat="1" applyFont="1" applyFill="1" applyBorder="1" applyAlignment="1">
      <alignment vertical="center"/>
    </xf>
    <xf numFmtId="3" fontId="8" fillId="12" borderId="13" xfId="0" applyNumberFormat="1" applyFont="1" applyFill="1" applyBorder="1" applyAlignment="1">
      <alignment vertical="center"/>
    </xf>
    <xf numFmtId="0" fontId="9" fillId="13" borderId="30" xfId="0" applyFont="1" applyFill="1" applyBorder="1" applyAlignment="1">
      <alignment vertical="center"/>
    </xf>
    <xf numFmtId="3" fontId="9" fillId="13" borderId="31" xfId="0" applyNumberFormat="1" applyFont="1" applyFill="1" applyBorder="1" applyAlignment="1">
      <alignment vertical="center"/>
    </xf>
    <xf numFmtId="168" fontId="16" fillId="13" borderId="31" xfId="0" applyNumberFormat="1" applyFont="1" applyFill="1" applyBorder="1" applyAlignment="1">
      <alignment vertical="center"/>
    </xf>
    <xf numFmtId="168" fontId="16" fillId="13" borderId="32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 wrapText="1"/>
    </xf>
    <xf numFmtId="0" fontId="6" fillId="46" borderId="4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vertical="center"/>
    </xf>
    <xf numFmtId="4" fontId="6" fillId="6" borderId="11" xfId="2" applyNumberFormat="1" applyFont="1" applyFill="1" applyBorder="1" applyAlignment="1">
      <alignment horizontal="right" vertical="center"/>
    </xf>
    <xf numFmtId="167" fontId="15" fillId="4" borderId="13" xfId="0" applyNumberFormat="1" applyFont="1" applyFill="1" applyBorder="1" applyAlignment="1">
      <alignment horizontal="right" vertical="center"/>
    </xf>
    <xf numFmtId="3" fontId="9" fillId="4" borderId="15" xfId="1" applyNumberFormat="1" applyFont="1" applyFill="1" applyBorder="1" applyAlignment="1">
      <alignment horizontal="right" vertical="center"/>
    </xf>
    <xf numFmtId="3" fontId="9" fillId="5" borderId="13" xfId="3" applyNumberFormat="1" applyFont="1" applyFill="1" applyBorder="1" applyAlignment="1">
      <alignment horizontal="right" vertical="center"/>
    </xf>
    <xf numFmtId="3" fontId="9" fillId="5" borderId="13" xfId="0" applyNumberFormat="1" applyFont="1" applyFill="1" applyBorder="1" applyAlignment="1">
      <alignment horizontal="right" vertical="center"/>
    </xf>
    <xf numFmtId="167" fontId="16" fillId="5" borderId="13" xfId="0" applyNumberFormat="1" applyFont="1" applyFill="1" applyBorder="1" applyAlignment="1">
      <alignment horizontal="right" vertical="center"/>
    </xf>
    <xf numFmtId="3" fontId="9" fillId="5" borderId="15" xfId="1" applyNumberFormat="1" applyFont="1" applyFill="1" applyBorder="1" applyAlignment="1">
      <alignment horizontal="right" vertical="center"/>
    </xf>
    <xf numFmtId="166" fontId="13" fillId="6" borderId="11" xfId="2" applyNumberFormat="1" applyFont="1" applyFill="1" applyBorder="1" applyAlignment="1">
      <alignment horizontal="right" vertical="center"/>
    </xf>
    <xf numFmtId="4" fontId="6" fillId="2" borderId="15" xfId="2" applyNumberFormat="1" applyFont="1" applyFill="1" applyBorder="1" applyAlignment="1">
      <alignment horizontal="center" vertical="center" wrapText="1"/>
    </xf>
    <xf numFmtId="167" fontId="16" fillId="5" borderId="31" xfId="0" applyNumberFormat="1" applyFont="1" applyFill="1" applyBorder="1" applyAlignment="1">
      <alignment horizontal="right" vertical="center"/>
    </xf>
    <xf numFmtId="167" fontId="15" fillId="12" borderId="13" xfId="0" applyNumberFormat="1" applyFont="1" applyFill="1" applyBorder="1" applyAlignment="1">
      <alignment horizontal="right" vertical="center"/>
    </xf>
    <xf numFmtId="3" fontId="9" fillId="13" borderId="13" xfId="3" applyNumberFormat="1" applyFont="1" applyFill="1" applyBorder="1" applyAlignment="1">
      <alignment horizontal="right" vertical="center"/>
    </xf>
    <xf numFmtId="3" fontId="6" fillId="46" borderId="14" xfId="3" applyNumberFormat="1" applyFont="1" applyFill="1" applyBorder="1" applyAlignment="1">
      <alignment horizontal="center" vertical="center"/>
    </xf>
    <xf numFmtId="0" fontId="14" fillId="46" borderId="13" xfId="0" applyFont="1" applyFill="1" applyBorder="1" applyAlignment="1">
      <alignment horizontal="center" vertical="center" wrapText="1"/>
    </xf>
    <xf numFmtId="4" fontId="6" fillId="46" borderId="15" xfId="2" applyNumberFormat="1" applyFont="1" applyFill="1" applyBorder="1" applyAlignment="1">
      <alignment horizontal="center" vertical="center" wrapText="1"/>
    </xf>
    <xf numFmtId="3" fontId="6" fillId="2" borderId="17" xfId="3" applyNumberFormat="1" applyFont="1" applyFill="1" applyBorder="1" applyAlignment="1">
      <alignment horizontal="center" vertical="center" wrapText="1"/>
    </xf>
    <xf numFmtId="4" fontId="6" fillId="6" borderId="2" xfId="2" applyNumberFormat="1" applyFont="1" applyFill="1" applyBorder="1" applyAlignment="1">
      <alignment horizontal="left" vertical="center" wrapText="1"/>
    </xf>
    <xf numFmtId="4" fontId="6" fillId="6" borderId="2" xfId="2" applyNumberFormat="1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left" vertical="center"/>
    </xf>
    <xf numFmtId="167" fontId="15" fillId="4" borderId="4" xfId="0" applyNumberFormat="1" applyFont="1" applyFill="1" applyBorder="1" applyAlignment="1">
      <alignment horizontal="right" vertical="center"/>
    </xf>
    <xf numFmtId="16" fontId="8" fillId="4" borderId="3" xfId="0" quotePrefix="1" applyNumberFormat="1" applyFont="1" applyFill="1" applyBorder="1" applyAlignment="1">
      <alignment horizontal="left" vertical="center"/>
    </xf>
    <xf numFmtId="17" fontId="8" fillId="4" borderId="3" xfId="0" quotePrefix="1" applyNumberFormat="1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  <xf numFmtId="167" fontId="16" fillId="5" borderId="4" xfId="0" applyNumberFormat="1" applyFont="1" applyFill="1" applyBorder="1" applyAlignment="1">
      <alignment vertical="center"/>
    </xf>
    <xf numFmtId="0" fontId="9" fillId="5" borderId="8" xfId="0" applyFont="1" applyFill="1" applyBorder="1" applyAlignment="1">
      <alignment horizontal="left" vertical="center"/>
    </xf>
    <xf numFmtId="3" fontId="9" fillId="5" borderId="18" xfId="0" applyNumberFormat="1" applyFont="1" applyFill="1" applyBorder="1" applyAlignment="1">
      <alignment vertical="center"/>
    </xf>
    <xf numFmtId="167" fontId="16" fillId="5" borderId="18" xfId="0" applyNumberFormat="1" applyFont="1" applyFill="1" applyBorder="1" applyAlignment="1">
      <alignment vertical="center"/>
    </xf>
    <xf numFmtId="3" fontId="9" fillId="5" borderId="20" xfId="0" applyNumberFormat="1" applyFont="1" applyFill="1" applyBorder="1" applyAlignment="1">
      <alignment vertical="center"/>
    </xf>
    <xf numFmtId="3" fontId="6" fillId="2" borderId="14" xfId="3" applyNumberFormat="1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left" vertical="center"/>
    </xf>
    <xf numFmtId="16" fontId="8" fillId="4" borderId="10" xfId="0" quotePrefix="1" applyNumberFormat="1" applyFont="1" applyFill="1" applyBorder="1" applyAlignment="1">
      <alignment horizontal="left" vertical="center"/>
    </xf>
    <xf numFmtId="17" fontId="8" fillId="4" borderId="10" xfId="0" quotePrefix="1" applyNumberFormat="1" applyFont="1" applyFill="1" applyBorder="1" applyAlignment="1">
      <alignment horizontal="left" vertical="center"/>
    </xf>
    <xf numFmtId="0" fontId="9" fillId="5" borderId="10" xfId="0" applyFont="1" applyFill="1" applyBorder="1" applyAlignment="1">
      <alignment horizontal="left" vertical="center"/>
    </xf>
    <xf numFmtId="167" fontId="16" fillId="5" borderId="13" xfId="0" applyNumberFormat="1" applyFont="1" applyFill="1" applyBorder="1" applyAlignment="1">
      <alignment vertical="center"/>
    </xf>
    <xf numFmtId="3" fontId="9" fillId="5" borderId="15" xfId="0" applyNumberFormat="1" applyFont="1" applyFill="1" applyBorder="1" applyAlignment="1">
      <alignment vertical="center"/>
    </xf>
    <xf numFmtId="0" fontId="9" fillId="5" borderId="30" xfId="0" applyFont="1" applyFill="1" applyBorder="1" applyAlignment="1">
      <alignment horizontal="left" vertical="center"/>
    </xf>
    <xf numFmtId="3" fontId="9" fillId="5" borderId="31" xfId="0" applyNumberFormat="1" applyFont="1" applyFill="1" applyBorder="1" applyAlignment="1">
      <alignment vertical="center"/>
    </xf>
    <xf numFmtId="167" fontId="16" fillId="5" borderId="31" xfId="0" applyNumberFormat="1" applyFont="1" applyFill="1" applyBorder="1" applyAlignment="1">
      <alignment vertical="center"/>
    </xf>
    <xf numFmtId="3" fontId="9" fillId="5" borderId="32" xfId="0" applyNumberFormat="1" applyFont="1" applyFill="1" applyBorder="1" applyAlignment="1">
      <alignment vertical="center"/>
    </xf>
    <xf numFmtId="4" fontId="6" fillId="6" borderId="11" xfId="2" applyNumberFormat="1" applyFont="1" applyFill="1" applyBorder="1" applyAlignment="1">
      <alignment horizontal="left" vertical="center" wrapText="1"/>
    </xf>
    <xf numFmtId="4" fontId="6" fillId="6" borderId="11" xfId="2" applyNumberFormat="1" applyFont="1" applyFill="1" applyBorder="1" applyAlignment="1">
      <alignment horizontal="right" vertical="center" wrapText="1"/>
    </xf>
    <xf numFmtId="3" fontId="8" fillId="4" borderId="4" xfId="0" applyNumberFormat="1" applyFont="1" applyFill="1" applyBorder="1" applyAlignment="1">
      <alignment horizontal="right" vertical="center"/>
    </xf>
    <xf numFmtId="167" fontId="15" fillId="4" borderId="4" xfId="1" applyNumberFormat="1" applyFont="1" applyFill="1" applyBorder="1" applyAlignment="1">
      <alignment horizontal="right" vertical="center"/>
    </xf>
    <xf numFmtId="167" fontId="16" fillId="5" borderId="4" xfId="0" applyNumberFormat="1" applyFont="1" applyFill="1" applyBorder="1" applyAlignment="1">
      <alignment horizontal="right" vertical="center"/>
    </xf>
    <xf numFmtId="167" fontId="16" fillId="5" borderId="18" xfId="0" applyNumberFormat="1" applyFont="1" applyFill="1" applyBorder="1" applyAlignment="1">
      <alignment horizontal="right" vertical="center"/>
    </xf>
    <xf numFmtId="3" fontId="8" fillId="4" borderId="13" xfId="0" applyNumberFormat="1" applyFont="1" applyFill="1" applyBorder="1" applyAlignment="1">
      <alignment horizontal="right" vertical="center"/>
    </xf>
    <xf numFmtId="167" fontId="15" fillId="4" borderId="13" xfId="1" applyNumberFormat="1" applyFont="1" applyFill="1" applyBorder="1" applyAlignment="1">
      <alignment horizontal="right" vertical="center"/>
    </xf>
    <xf numFmtId="3" fontId="6" fillId="46" borderId="14" xfId="3" applyNumberFormat="1" applyFont="1" applyFill="1" applyBorder="1" applyAlignment="1">
      <alignment horizontal="center" vertical="center" wrapText="1"/>
    </xf>
    <xf numFmtId="0" fontId="6" fillId="46" borderId="1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vertical="center"/>
    </xf>
    <xf numFmtId="166" fontId="0" fillId="4" borderId="18" xfId="0" applyNumberFormat="1" applyFill="1" applyBorder="1" applyAlignment="1">
      <alignment vertical="center"/>
    </xf>
    <xf numFmtId="167" fontId="15" fillId="4" borderId="18" xfId="0" applyNumberFormat="1" applyFont="1" applyFill="1" applyBorder="1" applyAlignment="1">
      <alignment vertical="center"/>
    </xf>
    <xf numFmtId="166" fontId="9" fillId="4" borderId="20" xfId="1" applyNumberFormat="1" applyFont="1" applyFill="1" applyBorder="1" applyAlignment="1">
      <alignment vertical="center"/>
    </xf>
    <xf numFmtId="3" fontId="6" fillId="2" borderId="8" xfId="2" applyNumberFormat="1" applyFont="1" applyFill="1" applyBorder="1" applyAlignment="1">
      <alignment horizontal="center" vertical="center" wrapText="1"/>
    </xf>
    <xf numFmtId="4" fontId="6" fillId="2" borderId="19" xfId="2" applyNumberFormat="1" applyFont="1" applyFill="1" applyBorder="1" applyAlignment="1">
      <alignment horizontal="center" vertical="center" wrapText="1"/>
    </xf>
    <xf numFmtId="166" fontId="0" fillId="4" borderId="4" xfId="0" applyNumberFormat="1" applyFill="1" applyBorder="1" applyAlignment="1">
      <alignment horizontal="right" vertical="center"/>
    </xf>
    <xf numFmtId="166" fontId="9" fillId="4" borderId="1" xfId="1" applyNumberFormat="1" applyFont="1" applyFill="1" applyBorder="1" applyAlignment="1">
      <alignment horizontal="right" vertical="center"/>
    </xf>
    <xf numFmtId="166" fontId="9" fillId="5" borderId="1" xfId="0" applyNumberFormat="1" applyFont="1" applyFill="1" applyBorder="1" applyAlignment="1">
      <alignment vertical="center"/>
    </xf>
    <xf numFmtId="166" fontId="9" fillId="5" borderId="18" xfId="0" applyNumberFormat="1" applyFont="1" applyFill="1" applyBorder="1" applyAlignment="1">
      <alignment vertical="center"/>
    </xf>
    <xf numFmtId="166" fontId="9" fillId="5" borderId="20" xfId="0" applyNumberFormat="1" applyFont="1" applyFill="1" applyBorder="1" applyAlignment="1">
      <alignment vertical="center"/>
    </xf>
    <xf numFmtId="166" fontId="8" fillId="4" borderId="4" xfId="0" applyNumberFormat="1" applyFont="1" applyFill="1" applyBorder="1" applyAlignment="1">
      <alignment horizontal="right" vertical="center"/>
    </xf>
    <xf numFmtId="166" fontId="0" fillId="4" borderId="13" xfId="0" applyNumberFormat="1" applyFill="1" applyBorder="1" applyAlignment="1">
      <alignment horizontal="right" vertical="center"/>
    </xf>
    <xf numFmtId="166" fontId="9" fillId="4" borderId="15" xfId="1" applyNumberFormat="1" applyFont="1" applyFill="1" applyBorder="1" applyAlignment="1">
      <alignment horizontal="right" vertical="center"/>
    </xf>
    <xf numFmtId="166" fontId="9" fillId="5" borderId="13" xfId="3" applyNumberFormat="1" applyFont="1" applyFill="1" applyBorder="1" applyAlignment="1">
      <alignment horizontal="right" vertical="center"/>
    </xf>
    <xf numFmtId="166" fontId="9" fillId="5" borderId="13" xfId="0" applyNumberFormat="1" applyFont="1" applyFill="1" applyBorder="1" applyAlignment="1">
      <alignment horizontal="right" vertical="center"/>
    </xf>
    <xf numFmtId="166" fontId="9" fillId="5" borderId="15" xfId="1" applyNumberFormat="1" applyFont="1" applyFill="1" applyBorder="1" applyAlignment="1">
      <alignment horizontal="right" vertical="center"/>
    </xf>
    <xf numFmtId="3" fontId="8" fillId="4" borderId="10" xfId="0" applyNumberFormat="1" applyFont="1" applyFill="1" applyBorder="1" applyAlignment="1">
      <alignment horizontal="center" vertical="center"/>
    </xf>
    <xf numFmtId="3" fontId="8" fillId="4" borderId="30" xfId="0" applyNumberFormat="1" applyFont="1" applyFill="1" applyBorder="1" applyAlignment="1">
      <alignment horizontal="center" vertical="center"/>
    </xf>
    <xf numFmtId="4" fontId="13" fillId="3" borderId="11" xfId="2" applyNumberFormat="1" applyFont="1" applyFill="1" applyBorder="1" applyAlignment="1">
      <alignment horizontal="center" vertical="center" wrapText="1"/>
    </xf>
    <xf numFmtId="4" fontId="13" fillId="3" borderId="10" xfId="2" applyNumberFormat="1" applyFont="1" applyFill="1" applyBorder="1" applyAlignment="1">
      <alignment horizontal="center" vertical="center" wrapText="1"/>
    </xf>
    <xf numFmtId="3" fontId="8" fillId="4" borderId="10" xfId="0" applyNumberFormat="1" applyFont="1" applyFill="1" applyBorder="1" applyAlignment="1">
      <alignment horizontal="left" vertical="center"/>
    </xf>
    <xf numFmtId="3" fontId="8" fillId="4" borderId="30" xfId="0" applyNumberFormat="1" applyFont="1" applyFill="1" applyBorder="1" applyAlignment="1">
      <alignment horizontal="left" vertical="center"/>
    </xf>
    <xf numFmtId="166" fontId="0" fillId="0" borderId="0" xfId="0" applyNumberFormat="1" applyFill="1" applyBorder="1" applyAlignment="1"/>
    <xf numFmtId="0" fontId="6" fillId="2" borderId="13" xfId="0" applyFont="1" applyFill="1" applyBorder="1" applyAlignment="1">
      <alignment horizontal="center" vertical="center"/>
    </xf>
    <xf numFmtId="0" fontId="8" fillId="0" borderId="0" xfId="51" applyFont="1"/>
    <xf numFmtId="0" fontId="8" fillId="0" borderId="0" xfId="51" applyFont="1" applyFill="1" applyBorder="1"/>
    <xf numFmtId="3" fontId="8" fillId="0" borderId="0" xfId="52" applyNumberFormat="1" applyFont="1" applyBorder="1" applyAlignment="1">
      <alignment horizontal="right"/>
    </xf>
    <xf numFmtId="3" fontId="8" fillId="0" borderId="47" xfId="52" applyNumberFormat="1" applyFont="1" applyFill="1" applyBorder="1" applyAlignment="1">
      <alignment horizontal="right"/>
    </xf>
    <xf numFmtId="3" fontId="8" fillId="0" borderId="0" xfId="52" applyNumberFormat="1" applyFont="1" applyFill="1" applyBorder="1" applyAlignment="1">
      <alignment horizontal="right"/>
    </xf>
    <xf numFmtId="3" fontId="8" fillId="0" borderId="49" xfId="51" applyNumberFormat="1" applyFont="1" applyFill="1" applyBorder="1"/>
    <xf numFmtId="3" fontId="8" fillId="0" borderId="0" xfId="51" applyNumberFormat="1" applyFont="1" applyFill="1" applyBorder="1"/>
    <xf numFmtId="3" fontId="8" fillId="0" borderId="0" xfId="51" applyNumberFormat="1" applyFont="1" applyBorder="1"/>
    <xf numFmtId="0" fontId="6" fillId="2" borderId="46" xfId="51" applyFont="1" applyFill="1" applyBorder="1" applyAlignment="1">
      <alignment horizontal="left"/>
    </xf>
    <xf numFmtId="0" fontId="6" fillId="2" borderId="0" xfId="51" applyFont="1" applyFill="1" applyBorder="1" applyAlignment="1">
      <alignment horizontal="center"/>
    </xf>
    <xf numFmtId="0" fontId="6" fillId="2" borderId="49" xfId="51" applyFont="1" applyFill="1" applyBorder="1" applyAlignment="1">
      <alignment horizontal="center"/>
    </xf>
    <xf numFmtId="0" fontId="6" fillId="2" borderId="50" xfId="51" applyFont="1" applyFill="1" applyBorder="1" applyAlignment="1">
      <alignment horizontal="left"/>
    </xf>
    <xf numFmtId="0" fontId="6" fillId="2" borderId="51" xfId="51" applyFont="1" applyFill="1" applyBorder="1" applyAlignment="1">
      <alignment horizontal="center"/>
    </xf>
    <xf numFmtId="3" fontId="6" fillId="2" borderId="52" xfId="52" applyNumberFormat="1" applyFont="1" applyFill="1" applyBorder="1" applyAlignment="1">
      <alignment horizontal="center"/>
    </xf>
    <xf numFmtId="0" fontId="40" fillId="0" borderId="46" xfId="51" applyFont="1" applyBorder="1" applyAlignment="1">
      <alignment vertical="center"/>
    </xf>
    <xf numFmtId="0" fontId="8" fillId="0" borderId="0" xfId="51" applyFont="1" applyFill="1" applyBorder="1" applyAlignment="1">
      <alignment horizontal="right"/>
    </xf>
    <xf numFmtId="3" fontId="8" fillId="0" borderId="47" xfId="51" applyNumberFormat="1" applyFont="1" applyFill="1" applyBorder="1"/>
    <xf numFmtId="3" fontId="8" fillId="0" borderId="47" xfId="52" applyNumberFormat="1" applyFont="1" applyBorder="1" applyAlignment="1">
      <alignment horizontal="right"/>
    </xf>
    <xf numFmtId="3" fontId="8" fillId="0" borderId="47" xfId="51" applyNumberFormat="1" applyFont="1" applyBorder="1"/>
    <xf numFmtId="0" fontId="40" fillId="0" borderId="50" xfId="51" applyFont="1" applyBorder="1" applyAlignment="1">
      <alignment vertical="center"/>
    </xf>
    <xf numFmtId="0" fontId="8" fillId="0" borderId="51" xfId="51" applyFont="1" applyFill="1" applyBorder="1" applyAlignment="1">
      <alignment horizontal="right"/>
    </xf>
    <xf numFmtId="3" fontId="8" fillId="0" borderId="51" xfId="51" applyNumberFormat="1" applyFont="1" applyFill="1" applyBorder="1"/>
    <xf numFmtId="3" fontId="8" fillId="0" borderId="51" xfId="52" applyNumberFormat="1" applyFont="1" applyBorder="1" applyAlignment="1">
      <alignment horizontal="right"/>
    </xf>
    <xf numFmtId="3" fontId="8" fillId="0" borderId="51" xfId="51" applyNumberFormat="1" applyFont="1" applyBorder="1"/>
    <xf numFmtId="0" fontId="40" fillId="0" borderId="0" xfId="51" applyFont="1" applyBorder="1"/>
    <xf numFmtId="0" fontId="40" fillId="0" borderId="0" xfId="51" applyFont="1" applyFill="1" applyBorder="1" applyAlignment="1">
      <alignment horizontal="right"/>
    </xf>
    <xf numFmtId="0" fontId="8" fillId="0" borderId="53" xfId="51" applyFont="1" applyBorder="1" applyAlignment="1">
      <alignment vertical="center"/>
    </xf>
    <xf numFmtId="0" fontId="8" fillId="0" borderId="47" xfId="51" applyFont="1" applyFill="1" applyBorder="1" applyAlignment="1">
      <alignment horizontal="right"/>
    </xf>
    <xf numFmtId="4" fontId="6" fillId="2" borderId="10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166" fontId="8" fillId="4" borderId="1" xfId="1" applyNumberFormat="1" applyFont="1" applyFill="1" applyBorder="1" applyAlignment="1">
      <alignment horizontal="right" vertical="center"/>
    </xf>
    <xf numFmtId="166" fontId="8" fillId="5" borderId="1" xfId="0" applyNumberFormat="1" applyFont="1" applyFill="1" applyBorder="1" applyAlignment="1">
      <alignment vertical="center"/>
    </xf>
    <xf numFmtId="166" fontId="8" fillId="5" borderId="4" xfId="0" applyNumberFormat="1" applyFont="1" applyFill="1" applyBorder="1" applyAlignment="1">
      <alignment vertical="center"/>
    </xf>
    <xf numFmtId="0" fontId="43" fillId="0" borderId="0" xfId="0" applyFont="1"/>
    <xf numFmtId="17" fontId="42" fillId="46" borderId="23" xfId="0" applyNumberFormat="1" applyFont="1" applyFill="1" applyBorder="1" applyAlignment="1">
      <alignment horizontal="center" vertical="center"/>
    </xf>
    <xf numFmtId="0" fontId="42" fillId="46" borderId="23" xfId="0" applyFont="1" applyFill="1" applyBorder="1" applyAlignment="1">
      <alignment horizontal="center" vertical="center"/>
    </xf>
    <xf numFmtId="0" fontId="42" fillId="46" borderId="24" xfId="0" applyFont="1" applyFill="1" applyBorder="1" applyAlignment="1">
      <alignment horizontal="center" vertical="center"/>
    </xf>
    <xf numFmtId="3" fontId="44" fillId="12" borderId="23" xfId="0" applyNumberFormat="1" applyFont="1" applyFill="1" applyBorder="1" applyAlignment="1">
      <alignment horizontal="center" vertical="center"/>
    </xf>
    <xf numFmtId="3" fontId="45" fillId="13" borderId="24" xfId="0" applyNumberFormat="1" applyFont="1" applyFill="1" applyBorder="1" applyAlignment="1">
      <alignment horizontal="center" vertical="center"/>
    </xf>
    <xf numFmtId="0" fontId="42" fillId="46" borderId="28" xfId="0" applyFont="1" applyFill="1" applyBorder="1" applyAlignment="1">
      <alignment horizontal="center" vertical="center"/>
    </xf>
    <xf numFmtId="3" fontId="44" fillId="12" borderId="29" xfId="0" applyNumberFormat="1" applyFont="1" applyFill="1" applyBorder="1" applyAlignment="1">
      <alignment horizontal="center" vertical="center"/>
    </xf>
    <xf numFmtId="3" fontId="45" fillId="13" borderId="28" xfId="0" applyNumberFormat="1" applyFont="1" applyFill="1" applyBorder="1" applyAlignment="1">
      <alignment horizontal="center" vertical="center"/>
    </xf>
    <xf numFmtId="167" fontId="16" fillId="13" borderId="56" xfId="0" applyNumberFormat="1" applyFont="1" applyFill="1" applyBorder="1" applyAlignment="1">
      <alignment horizontal="right" vertical="center"/>
    </xf>
    <xf numFmtId="0" fontId="46" fillId="0" borderId="0" xfId="0" applyFont="1"/>
    <xf numFmtId="3" fontId="6" fillId="46" borderId="9" xfId="3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0" xfId="0" applyFill="1"/>
    <xf numFmtId="3" fontId="9" fillId="5" borderId="13" xfId="4" applyNumberFormat="1" applyFont="1" applyFill="1" applyBorder="1" applyAlignment="1">
      <alignment vertical="center"/>
    </xf>
    <xf numFmtId="3" fontId="8" fillId="4" borderId="13" xfId="4" applyNumberFormat="1" applyFont="1" applyFill="1" applyBorder="1" applyAlignment="1">
      <alignment vertical="center"/>
    </xf>
    <xf numFmtId="3" fontId="8" fillId="4" borderId="31" xfId="4" applyNumberFormat="1" applyFont="1" applyFill="1" applyBorder="1" applyAlignment="1">
      <alignment vertical="center"/>
    </xf>
    <xf numFmtId="3" fontId="8" fillId="4" borderId="4" xfId="4" applyNumberFormat="1" applyFont="1" applyFill="1" applyBorder="1" applyAlignment="1">
      <alignment vertical="center"/>
    </xf>
    <xf numFmtId="3" fontId="8" fillId="4" borderId="18" xfId="4" applyNumberFormat="1" applyFont="1" applyFill="1" applyBorder="1" applyAlignment="1">
      <alignment vertical="center"/>
    </xf>
    <xf numFmtId="3" fontId="8" fillId="0" borderId="48" xfId="51" applyNumberFormat="1" applyFont="1" applyFill="1" applyBorder="1"/>
    <xf numFmtId="3" fontId="8" fillId="0" borderId="52" xfId="51" applyNumberFormat="1" applyFont="1" applyFill="1" applyBorder="1"/>
    <xf numFmtId="3" fontId="8" fillId="47" borderId="47" xfId="51" applyNumberFormat="1" applyFont="1" applyFill="1" applyBorder="1"/>
    <xf numFmtId="3" fontId="8" fillId="47" borderId="0" xfId="51" applyNumberFormat="1" applyFont="1" applyFill="1" applyBorder="1"/>
    <xf numFmtId="3" fontId="8" fillId="47" borderId="51" xfId="51" applyNumberFormat="1" applyFont="1" applyFill="1" applyBorder="1"/>
    <xf numFmtId="0" fontId="8" fillId="0" borderId="53" xfId="51" applyFont="1" applyFill="1" applyBorder="1" applyAlignment="1">
      <alignment vertical="center"/>
    </xf>
    <xf numFmtId="0" fontId="40" fillId="0" borderId="46" xfId="51" applyFont="1" applyFill="1" applyBorder="1" applyAlignment="1">
      <alignment vertical="center"/>
    </xf>
    <xf numFmtId="0" fontId="40" fillId="0" borderId="50" xfId="51" applyFont="1" applyFill="1" applyBorder="1" applyAlignment="1">
      <alignment vertical="center"/>
    </xf>
    <xf numFmtId="3" fontId="8" fillId="0" borderId="51" xfId="52" applyNumberFormat="1" applyFont="1" applyFill="1" applyBorder="1" applyAlignment="1">
      <alignment horizontal="right"/>
    </xf>
    <xf numFmtId="0" fontId="40" fillId="0" borderId="0" xfId="51" applyFont="1" applyFill="1" applyBorder="1"/>
    <xf numFmtId="3" fontId="8" fillId="47" borderId="48" xfId="51" applyNumberFormat="1" applyFont="1" applyFill="1" applyBorder="1"/>
    <xf numFmtId="3" fontId="8" fillId="47" borderId="49" xfId="51" applyNumberFormat="1" applyFont="1" applyFill="1" applyBorder="1"/>
    <xf numFmtId="3" fontId="8" fillId="47" borderId="52" xfId="51" applyNumberFormat="1" applyFont="1" applyFill="1" applyBorder="1"/>
    <xf numFmtId="0" fontId="6" fillId="2" borderId="46" xfId="51" applyFont="1" applyFill="1" applyBorder="1" applyAlignment="1">
      <alignment horizontal="center" wrapText="1"/>
    </xf>
    <xf numFmtId="4" fontId="0" fillId="0" borderId="0" xfId="0" applyNumberFormat="1" applyFill="1" applyBorder="1"/>
    <xf numFmtId="0" fontId="8" fillId="0" borderId="58" xfId="5" applyFont="1" applyFill="1" applyBorder="1" applyAlignment="1">
      <alignment horizontal="left" vertical="center"/>
    </xf>
    <xf numFmtId="4" fontId="0" fillId="0" borderId="59" xfId="0" applyNumberFormat="1" applyFill="1" applyBorder="1"/>
    <xf numFmtId="17" fontId="8" fillId="0" borderId="61" xfId="5" quotePrefix="1" applyNumberFormat="1" applyFont="1" applyFill="1" applyBorder="1" applyAlignment="1">
      <alignment horizontal="left" vertical="center"/>
    </xf>
    <xf numFmtId="0" fontId="8" fillId="0" borderId="61" xfId="5" applyFont="1" applyFill="1" applyBorder="1" applyAlignment="1">
      <alignment horizontal="left" vertical="center"/>
    </xf>
    <xf numFmtId="0" fontId="8" fillId="0" borderId="63" xfId="5" applyFont="1" applyFill="1" applyBorder="1" applyAlignment="1">
      <alignment horizontal="left" vertical="center"/>
    </xf>
    <xf numFmtId="4" fontId="0" fillId="0" borderId="64" xfId="0" applyNumberFormat="1" applyFill="1" applyBorder="1"/>
    <xf numFmtId="17" fontId="8" fillId="0" borderId="61" xfId="5" quotePrefix="1" applyNumberFormat="1" applyFont="1" applyFill="1" applyBorder="1" applyAlignment="1">
      <alignment horizontal="left" vertical="center" wrapText="1"/>
    </xf>
    <xf numFmtId="4" fontId="6" fillId="2" borderId="10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8" fillId="0" borderId="0" xfId="42" applyBorder="1"/>
    <xf numFmtId="0" fontId="8" fillId="0" borderId="0" xfId="42"/>
    <xf numFmtId="0" fontId="9" fillId="0" borderId="0" xfId="53" applyFont="1"/>
    <xf numFmtId="3" fontId="9" fillId="0" borderId="0" xfId="53" applyNumberFormat="1" applyFont="1"/>
    <xf numFmtId="0" fontId="9" fillId="0" borderId="0" xfId="42" applyFont="1"/>
    <xf numFmtId="0" fontId="6" fillId="2" borderId="0" xfId="53" applyFont="1" applyFill="1"/>
    <xf numFmtId="0" fontId="1" fillId="0" borderId="68" xfId="53" applyBorder="1"/>
    <xf numFmtId="0" fontId="1" fillId="0" borderId="71" xfId="53" applyBorder="1"/>
    <xf numFmtId="0" fontId="1" fillId="0" borderId="72" xfId="53" applyBorder="1"/>
    <xf numFmtId="0" fontId="1" fillId="0" borderId="0" xfId="53" applyBorder="1"/>
    <xf numFmtId="4" fontId="8" fillId="0" borderId="0" xfId="42" applyNumberFormat="1" applyBorder="1"/>
    <xf numFmtId="0" fontId="8" fillId="0" borderId="0" xfId="42" applyFill="1" applyBorder="1"/>
    <xf numFmtId="0" fontId="1" fillId="0" borderId="0" xfId="53"/>
    <xf numFmtId="0" fontId="13" fillId="2" borderId="0" xfId="53" applyFont="1" applyFill="1"/>
    <xf numFmtId="3" fontId="3" fillId="0" borderId="79" xfId="54" applyNumberFormat="1" applyBorder="1"/>
    <xf numFmtId="4" fontId="1" fillId="0" borderId="0" xfId="53" applyNumberFormat="1" applyBorder="1"/>
    <xf numFmtId="0" fontId="8" fillId="0" borderId="0" xfId="53" applyFont="1"/>
    <xf numFmtId="0" fontId="1" fillId="0" borderId="66" xfId="53" applyBorder="1"/>
    <xf numFmtId="3" fontId="1" fillId="0" borderId="66" xfId="53" applyNumberFormat="1" applyBorder="1"/>
    <xf numFmtId="0" fontId="1" fillId="0" borderId="81" xfId="53" applyBorder="1"/>
    <xf numFmtId="3" fontId="1" fillId="0" borderId="81" xfId="53" applyNumberFormat="1" applyBorder="1"/>
    <xf numFmtId="4" fontId="1" fillId="0" borderId="0" xfId="53" applyNumberFormat="1"/>
    <xf numFmtId="0" fontId="47" fillId="0" borderId="0" xfId="53" applyFont="1"/>
    <xf numFmtId="3" fontId="47" fillId="0" borderId="0" xfId="53" applyNumberFormat="1" applyFont="1"/>
    <xf numFmtId="0" fontId="9" fillId="0" borderId="0" xfId="53" applyFont="1" applyFill="1" applyBorder="1"/>
    <xf numFmtId="0" fontId="1" fillId="0" borderId="0" xfId="53" applyFill="1" applyBorder="1"/>
    <xf numFmtId="0" fontId="6" fillId="0" borderId="0" xfId="53" applyFont="1" applyFill="1" applyBorder="1"/>
    <xf numFmtId="0" fontId="13" fillId="0" borderId="0" xfId="53" applyFont="1" applyFill="1" applyBorder="1"/>
    <xf numFmtId="4" fontId="1" fillId="0" borderId="0" xfId="53" applyNumberFormat="1" applyFill="1" applyBorder="1"/>
    <xf numFmtId="0" fontId="47" fillId="0" borderId="0" xfId="53" applyFont="1" applyFill="1" applyBorder="1"/>
    <xf numFmtId="0" fontId="6" fillId="2" borderId="83" xfId="53" applyFont="1" applyFill="1" applyBorder="1"/>
    <xf numFmtId="0" fontId="6" fillId="2" borderId="18" xfId="53" applyFont="1" applyFill="1" applyBorder="1" applyAlignment="1">
      <alignment horizontal="right" vertical="center" wrapText="1"/>
    </xf>
    <xf numFmtId="0" fontId="6" fillId="2" borderId="20" xfId="53" applyFont="1" applyFill="1" applyBorder="1" applyAlignment="1">
      <alignment horizontal="right" vertical="center" wrapText="1"/>
    </xf>
    <xf numFmtId="0" fontId="6" fillId="2" borderId="87" xfId="53" applyFont="1" applyFill="1" applyBorder="1" applyAlignment="1">
      <alignment vertical="center" wrapText="1"/>
    </xf>
    <xf numFmtId="0" fontId="6" fillId="2" borderId="88" xfId="53" applyFont="1" applyFill="1" applyBorder="1" applyAlignment="1">
      <alignment horizontal="right" vertical="center" wrapText="1"/>
    </xf>
    <xf numFmtId="0" fontId="9" fillId="0" borderId="89" xfId="53" applyFont="1" applyBorder="1"/>
    <xf numFmtId="0" fontId="8" fillId="0" borderId="89" xfId="53" applyFont="1" applyBorder="1"/>
    <xf numFmtId="0" fontId="8" fillId="0" borderId="0" xfId="42" applyFont="1"/>
    <xf numFmtId="0" fontId="6" fillId="2" borderId="83" xfId="42" applyFont="1" applyFill="1" applyBorder="1"/>
    <xf numFmtId="0" fontId="6" fillId="2" borderId="87" xfId="42" applyFont="1" applyFill="1" applyBorder="1" applyAlignment="1">
      <alignment vertical="center" wrapText="1"/>
    </xf>
    <xf numFmtId="0" fontId="6" fillId="2" borderId="18" xfId="42" applyFont="1" applyFill="1" applyBorder="1" applyAlignment="1">
      <alignment horizontal="right" vertical="center" wrapText="1"/>
    </xf>
    <xf numFmtId="0" fontId="6" fillId="2" borderId="88" xfId="42" applyFont="1" applyFill="1" applyBorder="1" applyAlignment="1">
      <alignment horizontal="right" vertical="center" wrapText="1"/>
    </xf>
    <xf numFmtId="0" fontId="9" fillId="0" borderId="90" xfId="42" applyFont="1" applyBorder="1"/>
    <xf numFmtId="0" fontId="8" fillId="0" borderId="90" xfId="42" applyFont="1" applyBorder="1"/>
    <xf numFmtId="0" fontId="8" fillId="0" borderId="90" xfId="53" applyFont="1" applyBorder="1"/>
    <xf numFmtId="0" fontId="47" fillId="0" borderId="0" xfId="42" applyFont="1" applyBorder="1"/>
    <xf numFmtId="0" fontId="6" fillId="2" borderId="91" xfId="42" applyFont="1" applyFill="1" applyBorder="1"/>
    <xf numFmtId="0" fontId="6" fillId="2" borderId="66" xfId="42" applyFont="1" applyFill="1" applyBorder="1"/>
    <xf numFmtId="0" fontId="6" fillId="2" borderId="67" xfId="42" applyFont="1" applyFill="1" applyBorder="1"/>
    <xf numFmtId="0" fontId="8" fillId="0" borderId="92" xfId="42" applyFont="1" applyBorder="1"/>
    <xf numFmtId="0" fontId="8" fillId="0" borderId="0" xfId="42" applyFont="1" applyBorder="1"/>
    <xf numFmtId="4" fontId="8" fillId="0" borderId="80" xfId="42" applyNumberFormat="1" applyFont="1" applyBorder="1"/>
    <xf numFmtId="0" fontId="8" fillId="0" borderId="93" xfId="42" applyFont="1" applyBorder="1"/>
    <xf numFmtId="0" fontId="8" fillId="0" borderId="81" xfId="42" applyFont="1" applyBorder="1"/>
    <xf numFmtId="4" fontId="8" fillId="0" borderId="82" xfId="42" applyNumberFormat="1" applyFont="1" applyBorder="1"/>
    <xf numFmtId="0" fontId="8" fillId="2" borderId="0" xfId="42" applyFont="1" applyFill="1"/>
    <xf numFmtId="0" fontId="6" fillId="2" borderId="0" xfId="42" applyFont="1" applyFill="1"/>
    <xf numFmtId="0" fontId="8" fillId="0" borderId="91" xfId="42" applyFont="1" applyBorder="1"/>
    <xf numFmtId="0" fontId="8" fillId="0" borderId="66" xfId="42" applyFont="1" applyBorder="1"/>
    <xf numFmtId="171" fontId="8" fillId="0" borderId="66" xfId="42" applyNumberFormat="1" applyFont="1" applyBorder="1"/>
    <xf numFmtId="0" fontId="8" fillId="48" borderId="81" xfId="42" applyFont="1" applyFill="1" applyBorder="1"/>
    <xf numFmtId="171" fontId="8" fillId="48" borderId="81" xfId="42" applyNumberFormat="1" applyFont="1" applyFill="1" applyBorder="1"/>
    <xf numFmtId="171" fontId="8" fillId="0" borderId="0" xfId="42" applyNumberFormat="1" applyFont="1" applyBorder="1"/>
    <xf numFmtId="4" fontId="8" fillId="0" borderId="0" xfId="42" applyNumberFormat="1" applyFont="1" applyBorder="1"/>
    <xf numFmtId="0" fontId="8" fillId="2" borderId="91" xfId="42" applyFont="1" applyFill="1" applyBorder="1"/>
    <xf numFmtId="0" fontId="8" fillId="0" borderId="0" xfId="42" applyFont="1" applyFill="1" applyBorder="1"/>
    <xf numFmtId="171" fontId="8" fillId="0" borderId="81" xfId="42" applyNumberFormat="1" applyFont="1" applyBorder="1"/>
    <xf numFmtId="0" fontId="8" fillId="0" borderId="66" xfId="42" applyBorder="1"/>
    <xf numFmtId="171" fontId="8" fillId="0" borderId="66" xfId="42" applyNumberFormat="1" applyBorder="1"/>
    <xf numFmtId="0" fontId="8" fillId="0" borderId="92" xfId="42" applyBorder="1"/>
    <xf numFmtId="171" fontId="8" fillId="0" borderId="0" xfId="42" applyNumberFormat="1" applyBorder="1"/>
    <xf numFmtId="0" fontId="8" fillId="0" borderId="93" xfId="42" applyBorder="1"/>
    <xf numFmtId="0" fontId="8" fillId="0" borderId="81" xfId="42" applyBorder="1"/>
    <xf numFmtId="171" fontId="8" fillId="0" borderId="81" xfId="42" applyNumberFormat="1" applyBorder="1"/>
    <xf numFmtId="0" fontId="8" fillId="0" borderId="0" xfId="0" applyFont="1" applyFill="1" applyBorder="1" applyAlignment="1">
      <alignment vertical="center"/>
    </xf>
    <xf numFmtId="3" fontId="8" fillId="0" borderId="0" xfId="3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3" fontId="8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/>
    <xf numFmtId="3" fontId="0" fillId="0" borderId="0" xfId="0" applyNumberFormat="1" applyFont="1" applyFill="1" applyBorder="1" applyAlignment="1">
      <alignment horizontal="right" vertical="center"/>
    </xf>
    <xf numFmtId="0" fontId="8" fillId="0" borderId="51" xfId="51" applyFont="1" applyFill="1" applyBorder="1" applyAlignment="1">
      <alignment horizontal="left"/>
    </xf>
    <xf numFmtId="3" fontId="15" fillId="0" borderId="51" xfId="51" applyNumberFormat="1" applyFont="1" applyFill="1" applyBorder="1" applyAlignment="1"/>
    <xf numFmtId="3" fontId="15" fillId="0" borderId="0" xfId="0" applyNumberFormat="1" applyFont="1" applyFill="1" applyBorder="1" applyAlignment="1">
      <alignment horizontal="right" vertical="center"/>
    </xf>
    <xf numFmtId="3" fontId="8" fillId="0" borderId="51" xfId="51" applyNumberFormat="1" applyFont="1" applyFill="1" applyBorder="1" applyAlignment="1"/>
    <xf numFmtId="0" fontId="0" fillId="0" borderId="46" xfId="0" applyFont="1" applyFill="1" applyBorder="1"/>
    <xf numFmtId="0" fontId="0" fillId="0" borderId="46" xfId="0" applyFont="1" applyFill="1" applyBorder="1" applyAlignment="1"/>
    <xf numFmtId="3" fontId="8" fillId="0" borderId="49" xfId="1" applyNumberFormat="1" applyFont="1" applyFill="1" applyBorder="1" applyAlignment="1">
      <alignment horizontal="right" vertical="center"/>
    </xf>
    <xf numFmtId="0" fontId="6" fillId="2" borderId="46" xfId="51" applyFont="1" applyFill="1" applyBorder="1" applyAlignment="1">
      <alignment horizontal="center"/>
    </xf>
    <xf numFmtId="0" fontId="6" fillId="2" borderId="46" xfId="51" applyFont="1" applyFill="1" applyBorder="1" applyAlignment="1">
      <alignment horizontal="right"/>
    </xf>
    <xf numFmtId="3" fontId="8" fillId="47" borderId="0" xfId="0" applyNumberFormat="1" applyFont="1" applyFill="1" applyBorder="1" applyAlignment="1">
      <alignment horizontal="right" vertical="center"/>
    </xf>
    <xf numFmtId="3" fontId="8" fillId="47" borderId="49" xfId="1" applyNumberFormat="1" applyFont="1" applyFill="1" applyBorder="1" applyAlignment="1">
      <alignment horizontal="right" vertical="center"/>
    </xf>
    <xf numFmtId="3" fontId="8" fillId="49" borderId="0" xfId="0" applyNumberFormat="1" applyFont="1" applyFill="1" applyBorder="1" applyAlignment="1">
      <alignment horizontal="right" vertical="center"/>
    </xf>
    <xf numFmtId="3" fontId="8" fillId="49" borderId="49" xfId="1" applyNumberFormat="1" applyFont="1" applyFill="1" applyBorder="1" applyAlignment="1">
      <alignment horizontal="right" vertical="center"/>
    </xf>
    <xf numFmtId="0" fontId="0" fillId="50" borderId="0" xfId="0" applyFill="1"/>
    <xf numFmtId="0" fontId="0" fillId="51" borderId="0" xfId="0" applyFill="1"/>
    <xf numFmtId="3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46" xfId="51" applyFont="1" applyFill="1" applyBorder="1" applyAlignment="1">
      <alignment horizontal="center"/>
    </xf>
    <xf numFmtId="166" fontId="8" fillId="0" borderId="51" xfId="51" applyNumberFormat="1" applyFont="1" applyFill="1" applyBorder="1" applyAlignment="1"/>
    <xf numFmtId="166" fontId="8" fillId="47" borderId="51" xfId="51" applyNumberFormat="1" applyFont="1" applyFill="1" applyBorder="1"/>
    <xf numFmtId="166" fontId="8" fillId="47" borderId="52" xfId="51" applyNumberFormat="1" applyFont="1" applyFill="1" applyBorder="1"/>
    <xf numFmtId="166" fontId="8" fillId="47" borderId="0" xfId="0" applyNumberFormat="1" applyFont="1" applyFill="1" applyBorder="1" applyAlignment="1">
      <alignment horizontal="right" vertical="center"/>
    </xf>
    <xf numFmtId="166" fontId="8" fillId="47" borderId="49" xfId="1" applyNumberFormat="1" applyFont="1" applyFill="1" applyBorder="1" applyAlignment="1">
      <alignment horizontal="right" vertical="center"/>
    </xf>
    <xf numFmtId="166" fontId="8" fillId="0" borderId="0" xfId="0" applyNumberFormat="1" applyFont="1" applyFill="1" applyBorder="1" applyAlignment="1">
      <alignment horizontal="right" vertical="center"/>
    </xf>
    <xf numFmtId="166" fontId="8" fillId="0" borderId="49" xfId="1" applyNumberFormat="1" applyFont="1" applyFill="1" applyBorder="1" applyAlignment="1">
      <alignment horizontal="right" vertical="center"/>
    </xf>
    <xf numFmtId="166" fontId="8" fillId="0" borderId="0" xfId="3" applyNumberFormat="1" applyFont="1" applyFill="1" applyBorder="1" applyAlignment="1">
      <alignment horizontal="right" vertical="center"/>
    </xf>
    <xf numFmtId="166" fontId="8" fillId="49" borderId="0" xfId="0" applyNumberFormat="1" applyFont="1" applyFill="1" applyBorder="1" applyAlignment="1">
      <alignment horizontal="right" vertical="center"/>
    </xf>
    <xf numFmtId="166" fontId="8" fillId="49" borderId="49" xfId="1" applyNumberFormat="1" applyFont="1" applyFill="1" applyBorder="1" applyAlignment="1">
      <alignment horizontal="right" vertical="center"/>
    </xf>
    <xf numFmtId="166" fontId="0" fillId="0" borderId="0" xfId="0" applyNumberFormat="1" applyFont="1" applyFill="1" applyBorder="1" applyAlignment="1">
      <alignment horizontal="right" vertical="center"/>
    </xf>
    <xf numFmtId="0" fontId="14" fillId="2" borderId="46" xfId="51" applyFont="1" applyFill="1" applyBorder="1" applyAlignment="1">
      <alignment horizontal="center"/>
    </xf>
    <xf numFmtId="4" fontId="48" fillId="0" borderId="59" xfId="0" applyNumberFormat="1" applyFont="1" applyFill="1" applyBorder="1"/>
    <xf numFmtId="4" fontId="48" fillId="0" borderId="0" xfId="0" applyNumberFormat="1" applyFont="1" applyFill="1" applyBorder="1"/>
    <xf numFmtId="4" fontId="48" fillId="0" borderId="64" xfId="0" applyNumberFormat="1" applyFont="1" applyFill="1" applyBorder="1"/>
    <xf numFmtId="4" fontId="0" fillId="47" borderId="59" xfId="0" applyNumberFormat="1" applyFill="1" applyBorder="1"/>
    <xf numFmtId="171" fontId="0" fillId="47" borderId="60" xfId="0" applyNumberFormat="1" applyFill="1" applyBorder="1"/>
    <xf numFmtId="4" fontId="0" fillId="47" borderId="0" xfId="0" applyNumberFormat="1" applyFill="1" applyBorder="1"/>
    <xf numFmtId="171" fontId="0" fillId="47" borderId="62" xfId="0" applyNumberFormat="1" applyFill="1" applyBorder="1"/>
    <xf numFmtId="4" fontId="0" fillId="47" borderId="64" xfId="0" applyNumberFormat="1" applyFill="1" applyBorder="1"/>
    <xf numFmtId="171" fontId="0" fillId="47" borderId="65" xfId="0" applyNumberFormat="1" applyFill="1" applyBorder="1"/>
    <xf numFmtId="0" fontId="49" fillId="52" borderId="0" xfId="0" applyFont="1" applyFill="1" applyAlignment="1">
      <alignment horizontal="center"/>
    </xf>
    <xf numFmtId="3" fontId="8" fillId="4" borderId="4" xfId="0" applyNumberFormat="1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vertical="center"/>
    </xf>
    <xf numFmtId="9" fontId="9" fillId="5" borderId="4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9" fontId="6" fillId="2" borderId="7" xfId="0" applyNumberFormat="1" applyFont="1" applyFill="1" applyBorder="1" applyAlignment="1">
      <alignment horizontal="center" vertical="center" wrapText="1"/>
    </xf>
    <xf numFmtId="9" fontId="8" fillId="4" borderId="1" xfId="0" applyNumberFormat="1" applyFont="1" applyFill="1" applyBorder="1" applyAlignment="1">
      <alignment vertical="center"/>
    </xf>
    <xf numFmtId="9" fontId="9" fillId="5" borderId="1" xfId="0" applyNumberFormat="1" applyFont="1" applyFill="1" applyBorder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9" fontId="9" fillId="5" borderId="20" xfId="0" applyNumberFormat="1" applyFont="1" applyFill="1" applyBorder="1" applyAlignment="1">
      <alignment vertical="center"/>
    </xf>
    <xf numFmtId="4" fontId="6" fillId="3" borderId="2" xfId="2" applyNumberFormat="1" applyFont="1" applyFill="1" applyBorder="1" applyAlignment="1">
      <alignment vertical="center" wrapText="1"/>
    </xf>
    <xf numFmtId="0" fontId="8" fillId="4" borderId="4" xfId="0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horizontal="center" vertical="center" wrapText="1"/>
    </xf>
    <xf numFmtId="4" fontId="6" fillId="3" borderId="1" xfId="2" applyNumberFormat="1" applyFont="1" applyFill="1" applyBorder="1" applyAlignment="1">
      <alignment vertical="center" wrapText="1"/>
    </xf>
    <xf numFmtId="3" fontId="11" fillId="2" borderId="4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vertical="center" wrapText="1"/>
    </xf>
    <xf numFmtId="0" fontId="12" fillId="5" borderId="8" xfId="0" applyFont="1" applyFill="1" applyBorder="1" applyAlignment="1">
      <alignment vertical="center"/>
    </xf>
    <xf numFmtId="3" fontId="12" fillId="5" borderId="18" xfId="0" applyNumberFormat="1" applyFont="1" applyFill="1" applyBorder="1" applyAlignment="1">
      <alignment vertical="center"/>
    </xf>
    <xf numFmtId="3" fontId="12" fillId="5" borderId="20" xfId="0" applyNumberFormat="1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vertical="center" wrapText="1"/>
    </xf>
    <xf numFmtId="0" fontId="9" fillId="5" borderId="8" xfId="0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8" fillId="4" borderId="1" xfId="0" applyNumberFormat="1" applyFont="1" applyFill="1" applyBorder="1" applyAlignment="1">
      <alignment horizontal="right" vertical="center"/>
    </xf>
    <xf numFmtId="3" fontId="9" fillId="5" borderId="18" xfId="0" applyNumberFormat="1" applyFont="1" applyFill="1" applyBorder="1" applyAlignment="1">
      <alignment horizontal="right" vertical="center"/>
    </xf>
    <xf numFmtId="9" fontId="9" fillId="5" borderId="18" xfId="0" applyNumberFormat="1" applyFont="1" applyFill="1" applyBorder="1" applyAlignment="1">
      <alignment horizontal="right" vertical="center"/>
    </xf>
    <xf numFmtId="3" fontId="9" fillId="5" borderId="20" xfId="0" applyNumberFormat="1" applyFont="1" applyFill="1" applyBorder="1" applyAlignment="1">
      <alignment horizontal="right" vertical="center"/>
    </xf>
    <xf numFmtId="0" fontId="6" fillId="2" borderId="46" xfId="51" applyFont="1" applyFill="1" applyBorder="1" applyAlignment="1">
      <alignment horizontal="center" vertical="center" wrapText="1"/>
    </xf>
    <xf numFmtId="166" fontId="0" fillId="4" borderId="15" xfId="0" applyNumberFormat="1" applyFill="1" applyBorder="1" applyAlignment="1">
      <alignment horizontal="right" vertical="center"/>
    </xf>
    <xf numFmtId="0" fontId="8" fillId="4" borderId="30" xfId="0" applyFont="1" applyFill="1" applyBorder="1" applyAlignment="1">
      <alignment vertical="center"/>
    </xf>
    <xf numFmtId="166" fontId="0" fillId="4" borderId="32" xfId="0" applyNumberFormat="1" applyFill="1" applyBorder="1" applyAlignment="1">
      <alignment horizontal="right" vertical="center"/>
    </xf>
    <xf numFmtId="0" fontId="0" fillId="53" borderId="0" xfId="0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0" fillId="58" borderId="0" xfId="0" applyFill="1"/>
    <xf numFmtId="0" fontId="0" fillId="59" borderId="0" xfId="0" applyFill="1"/>
    <xf numFmtId="0" fontId="0" fillId="60" borderId="0" xfId="0" applyFill="1"/>
    <xf numFmtId="3" fontId="0" fillId="0" borderId="0" xfId="0" applyNumberFormat="1"/>
    <xf numFmtId="0" fontId="6" fillId="2" borderId="46" xfId="51" applyFont="1" applyFill="1" applyBorder="1" applyAlignment="1">
      <alignment horizontal="left" vertical="center" wrapText="1"/>
    </xf>
    <xf numFmtId="3" fontId="0" fillId="0" borderId="64" xfId="0" applyNumberFormat="1" applyBorder="1"/>
    <xf numFmtId="166" fontId="8" fillId="0" borderId="52" xfId="51" applyNumberFormat="1" applyFont="1" applyFill="1" applyBorder="1"/>
    <xf numFmtId="166" fontId="8" fillId="47" borderId="0" xfId="3" applyNumberFormat="1" applyFont="1" applyFill="1" applyBorder="1" applyAlignment="1">
      <alignment horizontal="right" vertical="center"/>
    </xf>
    <xf numFmtId="3" fontId="15" fillId="47" borderId="0" xfId="0" applyNumberFormat="1" applyFont="1" applyFill="1" applyBorder="1" applyAlignment="1">
      <alignment horizontal="right" vertical="center"/>
    </xf>
    <xf numFmtId="166" fontId="8" fillId="47" borderId="51" xfId="51" applyNumberFormat="1" applyFont="1" applyFill="1" applyBorder="1" applyAlignment="1"/>
    <xf numFmtId="3" fontId="15" fillId="47" borderId="51" xfId="51" applyNumberFormat="1" applyFont="1" applyFill="1" applyBorder="1" applyAlignment="1"/>
    <xf numFmtId="0" fontId="50" fillId="53" borderId="0" xfId="55" applyFill="1"/>
    <xf numFmtId="0" fontId="50" fillId="0" borderId="0" xfId="55"/>
    <xf numFmtId="0" fontId="50" fillId="54" borderId="0" xfId="55" applyFill="1"/>
    <xf numFmtId="0" fontId="50" fillId="55" borderId="0" xfId="55" applyFill="1"/>
    <xf numFmtId="0" fontId="50" fillId="56" borderId="0" xfId="55" applyFill="1"/>
    <xf numFmtId="0" fontId="50" fillId="57" borderId="0" xfId="55" applyFill="1"/>
    <xf numFmtId="0" fontId="50" fillId="58" borderId="0" xfId="55" applyFill="1"/>
    <xf numFmtId="0" fontId="50" fillId="60" borderId="0" xfId="55" applyFill="1"/>
    <xf numFmtId="0" fontId="50" fillId="59" borderId="0" xfId="55" applyFill="1"/>
    <xf numFmtId="0" fontId="6" fillId="2" borderId="46" xfId="51" applyFont="1" applyFill="1" applyBorder="1" applyAlignment="1">
      <alignment horizontal="left" wrapText="1"/>
    </xf>
    <xf numFmtId="4" fontId="0" fillId="0" borderId="0" xfId="0" applyNumberFormat="1"/>
    <xf numFmtId="4" fontId="0" fillId="50" borderId="0" xfId="0" applyNumberFormat="1" applyFill="1"/>
    <xf numFmtId="4" fontId="0" fillId="51" borderId="0" xfId="0" applyNumberFormat="1" applyFill="1"/>
    <xf numFmtId="171" fontId="0" fillId="0" borderId="0" xfId="0" applyNumberFormat="1" applyFill="1" applyBorder="1"/>
    <xf numFmtId="3" fontId="9" fillId="61" borderId="0" xfId="53" applyNumberFormat="1" applyFont="1" applyFill="1"/>
    <xf numFmtId="4" fontId="1" fillId="61" borderId="67" xfId="53" applyNumberFormat="1" applyFill="1" applyBorder="1"/>
    <xf numFmtId="4" fontId="1" fillId="61" borderId="80" xfId="53" applyNumberFormat="1" applyFill="1" applyBorder="1"/>
    <xf numFmtId="4" fontId="1" fillId="61" borderId="82" xfId="53" applyNumberFormat="1" applyFill="1" applyBorder="1"/>
    <xf numFmtId="4" fontId="1" fillId="61" borderId="66" xfId="53" applyNumberFormat="1" applyFill="1" applyBorder="1"/>
    <xf numFmtId="4" fontId="1" fillId="61" borderId="81" xfId="53" applyNumberFormat="1" applyFill="1" applyBorder="1"/>
    <xf numFmtId="4" fontId="8" fillId="61" borderId="67" xfId="42" applyNumberFormat="1" applyFont="1" applyFill="1" applyBorder="1"/>
    <xf numFmtId="4" fontId="8" fillId="61" borderId="82" xfId="42" applyNumberFormat="1" applyFont="1" applyFill="1" applyBorder="1"/>
    <xf numFmtId="4" fontId="8" fillId="61" borderId="66" xfId="42" applyNumberFormat="1" applyFont="1" applyFill="1" applyBorder="1"/>
    <xf numFmtId="4" fontId="8" fillId="61" borderId="0" xfId="42" applyNumberFormat="1" applyFont="1" applyFill="1" applyBorder="1"/>
    <xf numFmtId="4" fontId="8" fillId="61" borderId="80" xfId="42" applyNumberFormat="1" applyFont="1" applyFill="1" applyBorder="1"/>
    <xf numFmtId="4" fontId="8" fillId="61" borderId="81" xfId="42" applyNumberFormat="1" applyFont="1" applyFill="1" applyBorder="1"/>
    <xf numFmtId="4" fontId="8" fillId="61" borderId="80" xfId="42" applyNumberFormat="1" applyFill="1" applyBorder="1"/>
    <xf numFmtId="4" fontId="8" fillId="61" borderId="82" xfId="42" applyNumberFormat="1" applyFill="1" applyBorder="1"/>
    <xf numFmtId="4" fontId="8" fillId="61" borderId="67" xfId="42" applyNumberFormat="1" applyFill="1" applyBorder="1"/>
    <xf numFmtId="0" fontId="6" fillId="2" borderId="95" xfId="51" applyFont="1" applyFill="1" applyBorder="1" applyAlignment="1">
      <alignment horizontal="right"/>
    </xf>
    <xf numFmtId="166" fontId="8" fillId="0" borderId="49" xfId="0" applyNumberFormat="1" applyFont="1" applyFill="1" applyBorder="1" applyAlignment="1">
      <alignment horizontal="right" vertical="center"/>
    </xf>
    <xf numFmtId="166" fontId="0" fillId="0" borderId="49" xfId="0" applyNumberFormat="1" applyFont="1" applyFill="1" applyBorder="1" applyAlignment="1">
      <alignment horizontal="right" vertical="center"/>
    </xf>
    <xf numFmtId="166" fontId="8" fillId="0" borderId="52" xfId="51" applyNumberFormat="1" applyFont="1" applyFill="1" applyBorder="1" applyAlignment="1"/>
    <xf numFmtId="166" fontId="0" fillId="0" borderId="0" xfId="0" applyNumberFormat="1"/>
    <xf numFmtId="3" fontId="9" fillId="0" borderId="0" xfId="0" applyNumberFormat="1" applyFont="1" applyFill="1" applyBorder="1" applyAlignment="1">
      <alignment horizontal="right" vertical="center"/>
    </xf>
    <xf numFmtId="166" fontId="51" fillId="0" borderId="0" xfId="0" applyNumberFormat="1" applyFont="1" applyFill="1" applyBorder="1" applyAlignment="1"/>
    <xf numFmtId="0" fontId="0" fillId="0" borderId="97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51" fillId="47" borderId="102" xfId="0" applyFont="1" applyFill="1" applyBorder="1" applyAlignment="1">
      <alignment vertical="center"/>
    </xf>
    <xf numFmtId="0" fontId="51" fillId="47" borderId="94" xfId="0" applyFont="1" applyFill="1" applyBorder="1" applyAlignment="1">
      <alignment vertical="center"/>
    </xf>
    <xf numFmtId="3" fontId="51" fillId="47" borderId="0" xfId="0" applyNumberFormat="1" applyFont="1" applyFill="1" applyBorder="1" applyAlignment="1">
      <alignment vertical="center"/>
    </xf>
    <xf numFmtId="3" fontId="51" fillId="47" borderId="103" xfId="0" applyNumberFormat="1" applyFont="1" applyFill="1" applyBorder="1" applyAlignment="1">
      <alignment vertical="center"/>
    </xf>
    <xf numFmtId="0" fontId="0" fillId="0" borderId="102" xfId="0" applyBorder="1" applyAlignment="1">
      <alignment vertical="center"/>
    </xf>
    <xf numFmtId="0" fontId="0" fillId="0" borderId="94" xfId="0" applyBorder="1" applyAlignment="1">
      <alignment vertical="center"/>
    </xf>
    <xf numFmtId="3" fontId="0" fillId="0" borderId="0" xfId="0" applyNumberFormat="1" applyBorder="1" applyAlignment="1">
      <alignment vertical="center"/>
    </xf>
    <xf numFmtId="3" fontId="0" fillId="0" borderId="103" xfId="0" applyNumberFormat="1" applyBorder="1" applyAlignment="1">
      <alignment vertical="center"/>
    </xf>
    <xf numFmtId="0" fontId="0" fillId="0" borderId="104" xfId="0" applyBorder="1" applyAlignment="1">
      <alignment vertical="center"/>
    </xf>
    <xf numFmtId="0" fontId="0" fillId="0" borderId="105" xfId="0" applyBorder="1" applyAlignment="1">
      <alignment vertical="center"/>
    </xf>
    <xf numFmtId="3" fontId="0" fillId="0" borderId="106" xfId="0" applyNumberFormat="1" applyBorder="1" applyAlignment="1">
      <alignment vertical="center"/>
    </xf>
    <xf numFmtId="3" fontId="0" fillId="0" borderId="107" xfId="0" applyNumberFormat="1" applyBorder="1" applyAlignment="1">
      <alignment vertical="center"/>
    </xf>
    <xf numFmtId="165" fontId="9" fillId="47" borderId="0" xfId="53" applyNumberFormat="1" applyFont="1" applyFill="1" applyBorder="1"/>
    <xf numFmtId="165" fontId="9" fillId="47" borderId="49" xfId="53" applyNumberFormat="1" applyFont="1" applyFill="1" applyBorder="1"/>
    <xf numFmtId="165" fontId="1" fillId="47" borderId="0" xfId="53" applyNumberFormat="1" applyFill="1" applyBorder="1"/>
    <xf numFmtId="165" fontId="1" fillId="47" borderId="49" xfId="53" applyNumberFormat="1" applyFill="1" applyBorder="1"/>
    <xf numFmtId="165" fontId="8" fillId="47" borderId="51" xfId="53" applyNumberFormat="1" applyFont="1" applyFill="1" applyBorder="1"/>
    <xf numFmtId="165" fontId="8" fillId="47" borderId="52" xfId="53" applyNumberFormat="1" applyFont="1" applyFill="1" applyBorder="1"/>
    <xf numFmtId="165" fontId="9" fillId="47" borderId="0" xfId="42" applyNumberFormat="1" applyFont="1" applyFill="1" applyBorder="1"/>
    <xf numFmtId="165" fontId="9" fillId="47" borderId="49" xfId="42" applyNumberFormat="1" applyFont="1" applyFill="1" applyBorder="1"/>
    <xf numFmtId="165" fontId="8" fillId="47" borderId="0" xfId="42" applyNumberFormat="1" applyFill="1" applyBorder="1"/>
    <xf numFmtId="165" fontId="8" fillId="47" borderId="49" xfId="42" applyNumberFormat="1" applyFill="1" applyBorder="1"/>
    <xf numFmtId="165" fontId="8" fillId="47" borderId="51" xfId="42" applyNumberFormat="1" applyFont="1" applyFill="1" applyBorder="1"/>
    <xf numFmtId="165" fontId="8" fillId="47" borderId="52" xfId="42" applyNumberFormat="1" applyFont="1" applyFill="1" applyBorder="1"/>
    <xf numFmtId="166" fontId="0" fillId="0" borderId="0" xfId="0" applyNumberFormat="1" applyBorder="1"/>
    <xf numFmtId="0" fontId="0" fillId="0" borderId="108" xfId="0" applyFill="1" applyBorder="1"/>
    <xf numFmtId="4" fontId="6" fillId="2" borderId="13" xfId="2" applyNumberFormat="1" applyFont="1" applyFill="1" applyBorder="1" applyAlignment="1">
      <alignment horizontal="center" vertical="center" wrapText="1"/>
    </xf>
    <xf numFmtId="4" fontId="6" fillId="2" borderId="10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171" fontId="0" fillId="62" borderId="65" xfId="0" applyNumberFormat="1" applyFill="1" applyBorder="1"/>
    <xf numFmtId="4" fontId="0" fillId="62" borderId="64" xfId="0" applyNumberFormat="1" applyFill="1" applyBorder="1"/>
    <xf numFmtId="4" fontId="0" fillId="62" borderId="64" xfId="0" applyNumberFormat="1" applyFont="1" applyFill="1" applyBorder="1"/>
    <xf numFmtId="0" fontId="1" fillId="0" borderId="63" xfId="56" applyFont="1" applyFill="1" applyBorder="1" applyAlignment="1">
      <alignment horizontal="left" vertical="center"/>
    </xf>
    <xf numFmtId="171" fontId="0" fillId="62" borderId="62" xfId="0" applyNumberFormat="1" applyFill="1" applyBorder="1"/>
    <xf numFmtId="4" fontId="0" fillId="62" borderId="0" xfId="0" applyNumberFormat="1" applyFill="1" applyBorder="1"/>
    <xf numFmtId="4" fontId="0" fillId="62" borderId="0" xfId="0" applyNumberFormat="1" applyFont="1" applyFill="1" applyBorder="1"/>
    <xf numFmtId="17" fontId="1" fillId="0" borderId="61" xfId="56" quotePrefix="1" applyNumberFormat="1" applyFont="1" applyFill="1" applyBorder="1" applyAlignment="1">
      <alignment horizontal="left" vertical="center"/>
    </xf>
    <xf numFmtId="0" fontId="1" fillId="0" borderId="61" xfId="56" applyFont="1" applyFill="1" applyBorder="1" applyAlignment="1">
      <alignment horizontal="left" vertical="center"/>
    </xf>
    <xf numFmtId="171" fontId="51" fillId="62" borderId="60" xfId="0" applyNumberFormat="1" applyFont="1" applyFill="1" applyBorder="1"/>
    <xf numFmtId="4" fontId="51" fillId="62" borderId="59" xfId="0" applyNumberFormat="1" applyFont="1" applyFill="1" applyBorder="1"/>
    <xf numFmtId="0" fontId="9" fillId="0" borderId="58" xfId="56" applyFont="1" applyFill="1" applyBorder="1" applyAlignment="1">
      <alignment horizontal="left" vertical="center"/>
    </xf>
    <xf numFmtId="0" fontId="6" fillId="2" borderId="46" xfId="57" applyFont="1" applyFill="1" applyBorder="1" applyAlignment="1">
      <alignment horizontal="center" wrapText="1"/>
    </xf>
    <xf numFmtId="0" fontId="6" fillId="2" borderId="46" xfId="57" applyFont="1" applyFill="1" applyBorder="1" applyAlignment="1">
      <alignment horizontal="center"/>
    </xf>
    <xf numFmtId="171" fontId="51" fillId="47" borderId="60" xfId="0" applyNumberFormat="1" applyFont="1" applyFill="1" applyBorder="1"/>
    <xf numFmtId="4" fontId="51" fillId="47" borderId="59" xfId="0" applyNumberFormat="1" applyFont="1" applyFill="1" applyBorder="1"/>
    <xf numFmtId="4" fontId="52" fillId="0" borderId="59" xfId="0" applyNumberFormat="1" applyFont="1" applyFill="1" applyBorder="1"/>
    <xf numFmtId="4" fontId="51" fillId="0" borderId="59" xfId="0" applyNumberFormat="1" applyFont="1" applyFill="1" applyBorder="1"/>
    <xf numFmtId="0" fontId="14" fillId="2" borderId="46" xfId="57" applyFont="1" applyFill="1" applyBorder="1" applyAlignment="1">
      <alignment horizontal="center"/>
    </xf>
    <xf numFmtId="3" fontId="1" fillId="4" borderId="32" xfId="59" applyNumberFormat="1" applyFont="1" applyFill="1" applyBorder="1" applyAlignment="1">
      <alignment horizontal="right" vertical="center"/>
    </xf>
    <xf numFmtId="3" fontId="1" fillId="4" borderId="31" xfId="59" applyNumberFormat="1" applyFont="1" applyFill="1" applyBorder="1" applyAlignment="1">
      <alignment horizontal="right" vertical="center"/>
    </xf>
    <xf numFmtId="166" fontId="1" fillId="4" borderId="31" xfId="59" applyNumberFormat="1" applyFont="1" applyFill="1" applyBorder="1" applyAlignment="1">
      <alignment horizontal="right" vertical="center"/>
    </xf>
    <xf numFmtId="166" fontId="1" fillId="4" borderId="30" xfId="59" applyNumberFormat="1" applyFont="1" applyFill="1" applyBorder="1" applyAlignment="1">
      <alignment horizontal="right" vertical="center"/>
    </xf>
    <xf numFmtId="3" fontId="1" fillId="4" borderId="8" xfId="0" applyNumberFormat="1" applyFont="1" applyFill="1" applyBorder="1" applyAlignment="1">
      <alignment vertical="center"/>
    </xf>
    <xf numFmtId="166" fontId="9" fillId="4" borderId="20" xfId="59" applyNumberFormat="1" applyFont="1" applyFill="1" applyBorder="1" applyAlignment="1">
      <alignment horizontal="right" vertical="center"/>
    </xf>
    <xf numFmtId="170" fontId="15" fillId="4" borderId="18" xfId="59" applyNumberFormat="1" applyFont="1" applyFill="1" applyBorder="1" applyAlignment="1">
      <alignment horizontal="right" vertical="center"/>
    </xf>
    <xf numFmtId="166" fontId="1" fillId="4" borderId="18" xfId="59" applyNumberFormat="1" applyFont="1" applyFill="1" applyBorder="1" applyAlignment="1">
      <alignment horizontal="right" vertical="center"/>
    </xf>
    <xf numFmtId="3" fontId="1" fillId="4" borderId="15" xfId="59" applyNumberFormat="1" applyFont="1" applyFill="1" applyBorder="1" applyAlignment="1">
      <alignment horizontal="right" vertical="center"/>
    </xf>
    <xf numFmtId="3" fontId="1" fillId="4" borderId="13" xfId="59" applyNumberFormat="1" applyFont="1" applyFill="1" applyBorder="1" applyAlignment="1">
      <alignment horizontal="right" vertical="center"/>
    </xf>
    <xf numFmtId="166" fontId="1" fillId="4" borderId="13" xfId="59" applyNumberFormat="1" applyFont="1" applyFill="1" applyBorder="1" applyAlignment="1">
      <alignment horizontal="right" vertical="center"/>
    </xf>
    <xf numFmtId="166" fontId="1" fillId="4" borderId="10" xfId="59" applyNumberFormat="1" applyFont="1" applyFill="1" applyBorder="1" applyAlignment="1">
      <alignment horizontal="right" vertical="center"/>
    </xf>
    <xf numFmtId="3" fontId="1" fillId="4" borderId="3" xfId="0" applyNumberFormat="1" applyFont="1" applyFill="1" applyBorder="1" applyAlignment="1">
      <alignment vertical="center"/>
    </xf>
    <xf numFmtId="166" fontId="9" fillId="4" borderId="1" xfId="59" applyNumberFormat="1" applyFont="1" applyFill="1" applyBorder="1" applyAlignment="1">
      <alignment horizontal="right" vertical="center"/>
    </xf>
    <xf numFmtId="170" fontId="15" fillId="4" borderId="4" xfId="59" applyNumberFormat="1" applyFont="1" applyFill="1" applyBorder="1" applyAlignment="1">
      <alignment horizontal="right" vertical="center"/>
    </xf>
    <xf numFmtId="166" fontId="1" fillId="4" borderId="4" xfId="59" applyNumberFormat="1" applyFont="1" applyFill="1" applyBorder="1" applyAlignment="1">
      <alignment horizontal="right" vertical="center"/>
    </xf>
    <xf numFmtId="0" fontId="13" fillId="3" borderId="11" xfId="59" applyNumberFormat="1" applyFont="1" applyFill="1" applyBorder="1" applyAlignment="1">
      <alignment vertical="center"/>
    </xf>
    <xf numFmtId="166" fontId="9" fillId="5" borderId="1" xfId="59" applyNumberFormat="1" applyFont="1" applyFill="1" applyBorder="1" applyAlignment="1">
      <alignment horizontal="right" vertical="center"/>
    </xf>
    <xf numFmtId="3" fontId="16" fillId="5" borderId="4" xfId="59" applyNumberFormat="1" applyFont="1" applyFill="1" applyBorder="1" applyAlignment="1">
      <alignment horizontal="right" vertical="center"/>
    </xf>
    <xf numFmtId="166" fontId="9" fillId="5" borderId="4" xfId="59" applyNumberFormat="1" applyFont="1" applyFill="1" applyBorder="1" applyAlignment="1">
      <alignment horizontal="right" vertical="center"/>
    </xf>
    <xf numFmtId="3" fontId="6" fillId="2" borderId="15" xfId="59" applyNumberFormat="1" applyFont="1" applyFill="1" applyBorder="1" applyAlignment="1">
      <alignment horizontal="center" vertical="center" wrapText="1"/>
    </xf>
    <xf numFmtId="3" fontId="6" fillId="2" borderId="13" xfId="59" applyNumberFormat="1" applyFont="1" applyFill="1" applyBorder="1" applyAlignment="1">
      <alignment horizontal="center" vertical="center" wrapText="1"/>
    </xf>
    <xf numFmtId="3" fontId="6" fillId="2" borderId="10" xfId="59" applyNumberFormat="1" applyFont="1" applyFill="1" applyBorder="1" applyAlignment="1">
      <alignment horizontal="center" vertical="center" wrapText="1"/>
    </xf>
    <xf numFmtId="3" fontId="6" fillId="2" borderId="1" xfId="59" applyNumberFormat="1" applyFont="1" applyFill="1" applyBorder="1" applyAlignment="1">
      <alignment horizontal="center" vertical="center"/>
    </xf>
    <xf numFmtId="3" fontId="6" fillId="2" borderId="4" xfId="59" applyNumberFormat="1" applyFont="1" applyFill="1" applyBorder="1" applyAlignment="1">
      <alignment horizontal="center" vertical="center" wrapText="1"/>
    </xf>
    <xf numFmtId="3" fontId="1" fillId="4" borderId="30" xfId="59" applyNumberFormat="1" applyFont="1" applyFill="1" applyBorder="1" applyAlignment="1">
      <alignment horizontal="right" vertical="center"/>
    </xf>
    <xf numFmtId="3" fontId="9" fillId="4" borderId="20" xfId="59" applyNumberFormat="1" applyFont="1" applyFill="1" applyBorder="1" applyAlignment="1">
      <alignment horizontal="right" vertical="center"/>
    </xf>
    <xf numFmtId="3" fontId="1" fillId="4" borderId="18" xfId="59" applyNumberFormat="1" applyFont="1" applyFill="1" applyBorder="1" applyAlignment="1">
      <alignment horizontal="right" vertical="center"/>
    </xf>
    <xf numFmtId="3" fontId="1" fillId="4" borderId="10" xfId="59" applyNumberFormat="1" applyFont="1" applyFill="1" applyBorder="1" applyAlignment="1">
      <alignment horizontal="right" vertical="center"/>
    </xf>
    <xf numFmtId="3" fontId="9" fillId="4" borderId="1" xfId="59" applyNumberFormat="1" applyFont="1" applyFill="1" applyBorder="1" applyAlignment="1">
      <alignment horizontal="right" vertical="center"/>
    </xf>
    <xf numFmtId="3" fontId="1" fillId="4" borderId="4" xfId="59" applyNumberFormat="1" applyFont="1" applyFill="1" applyBorder="1" applyAlignment="1">
      <alignment horizontal="right" vertical="center"/>
    </xf>
    <xf numFmtId="3" fontId="9" fillId="5" borderId="1" xfId="59" applyNumberFormat="1" applyFont="1" applyFill="1" applyBorder="1" applyAlignment="1">
      <alignment horizontal="right" vertical="center"/>
    </xf>
    <xf numFmtId="3" fontId="9" fillId="5" borderId="4" xfId="59" applyNumberFormat="1" applyFont="1" applyFill="1" applyBorder="1" applyAlignment="1">
      <alignment horizontal="right" vertical="center"/>
    </xf>
    <xf numFmtId="0" fontId="6" fillId="2" borderId="46" xfId="58" applyFont="1" applyFill="1" applyBorder="1" applyAlignment="1">
      <alignment horizontal="center" vertical="center"/>
    </xf>
    <xf numFmtId="0" fontId="6" fillId="2" borderId="50" xfId="58" applyFont="1" applyFill="1" applyBorder="1" applyAlignment="1">
      <alignment horizontal="center" vertical="center"/>
    </xf>
    <xf numFmtId="0" fontId="14" fillId="2" borderId="50" xfId="58" applyFont="1" applyFill="1" applyBorder="1" applyAlignment="1">
      <alignment horizontal="center" vertical="center"/>
    </xf>
    <xf numFmtId="0" fontId="6" fillId="2" borderId="104" xfId="58" applyFont="1" applyFill="1" applyBorder="1" applyAlignment="1">
      <alignment horizontal="center" vertical="center"/>
    </xf>
    <xf numFmtId="0" fontId="6" fillId="2" borderId="111" xfId="58" applyFont="1" applyFill="1" applyBorder="1" applyAlignment="1">
      <alignment horizontal="center" vertical="center"/>
    </xf>
    <xf numFmtId="0" fontId="6" fillId="2" borderId="112" xfId="58" applyFont="1" applyFill="1" applyBorder="1" applyAlignment="1">
      <alignment horizontal="center" vertical="center"/>
    </xf>
    <xf numFmtId="4" fontId="9" fillId="0" borderId="46" xfId="60" applyNumberFormat="1" applyFont="1" applyFill="1" applyBorder="1" applyAlignment="1">
      <alignment horizontal="left" wrapText="1"/>
    </xf>
    <xf numFmtId="166" fontId="9" fillId="0" borderId="46" xfId="59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7" fontId="16" fillId="0" borderId="0" xfId="0" applyNumberFormat="1" applyFont="1" applyFill="1" applyBorder="1" applyAlignment="1">
      <alignment horizontal="right"/>
    </xf>
    <xf numFmtId="166" fontId="1" fillId="47" borderId="49" xfId="1" applyNumberFormat="1" applyFont="1" applyFill="1" applyBorder="1" applyAlignment="1">
      <alignment horizontal="right"/>
    </xf>
    <xf numFmtId="166" fontId="9" fillId="0" borderId="0" xfId="59" applyNumberFormat="1" applyFont="1" applyFill="1" applyBorder="1" applyAlignment="1">
      <alignment horizontal="right"/>
    </xf>
    <xf numFmtId="4" fontId="0" fillId="47" borderId="102" xfId="0" applyNumberFormat="1" applyFill="1" applyBorder="1"/>
    <xf numFmtId="4" fontId="0" fillId="47" borderId="103" xfId="0" applyNumberFormat="1" applyFill="1" applyBorder="1"/>
    <xf numFmtId="166" fontId="1" fillId="0" borderId="49" xfId="1" applyNumberFormat="1" applyFont="1" applyFill="1" applyBorder="1" applyAlignment="1">
      <alignment horizontal="right"/>
    </xf>
    <xf numFmtId="3" fontId="1" fillId="0" borderId="46" xfId="0" applyNumberFormat="1" applyFont="1" applyFill="1" applyBorder="1"/>
    <xf numFmtId="166" fontId="1" fillId="0" borderId="46" xfId="59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167" fontId="15" fillId="0" borderId="0" xfId="0" applyNumberFormat="1" applyFont="1" applyFill="1" applyBorder="1" applyAlignment="1">
      <alignment horizontal="right"/>
    </xf>
    <xf numFmtId="166" fontId="1" fillId="0" borderId="0" xfId="59" applyNumberFormat="1" applyFont="1" applyFill="1" applyBorder="1" applyAlignment="1">
      <alignment horizontal="right"/>
    </xf>
    <xf numFmtId="166" fontId="1" fillId="47" borderId="46" xfId="59" applyNumberFormat="1" applyFont="1" applyFill="1" applyBorder="1" applyAlignment="1">
      <alignment horizontal="right"/>
    </xf>
    <xf numFmtId="166" fontId="1" fillId="47" borderId="0" xfId="0" applyNumberFormat="1" applyFont="1" applyFill="1" applyBorder="1" applyAlignment="1">
      <alignment horizontal="right"/>
    </xf>
    <xf numFmtId="167" fontId="15" fillId="47" borderId="0" xfId="0" applyNumberFormat="1" applyFont="1" applyFill="1" applyBorder="1" applyAlignment="1">
      <alignment horizontal="right"/>
    </xf>
    <xf numFmtId="166" fontId="1" fillId="47" borderId="0" xfId="59" applyNumberFormat="1" applyFont="1" applyFill="1" applyBorder="1" applyAlignment="1">
      <alignment horizontal="right"/>
    </xf>
    <xf numFmtId="0" fontId="1" fillId="0" borderId="50" xfId="58" applyFont="1" applyBorder="1" applyAlignment="1">
      <alignment vertical="center"/>
    </xf>
    <xf numFmtId="166" fontId="1" fillId="0" borderId="50" xfId="59" applyNumberFormat="1" applyFont="1" applyFill="1" applyBorder="1" applyAlignment="1">
      <alignment horizontal="right"/>
    </xf>
    <xf numFmtId="166" fontId="1" fillId="0" borderId="51" xfId="0" applyNumberFormat="1" applyFont="1" applyFill="1" applyBorder="1" applyAlignment="1">
      <alignment horizontal="right"/>
    </xf>
    <xf numFmtId="167" fontId="15" fillId="0" borderId="51" xfId="0" applyNumberFormat="1" applyFont="1" applyFill="1" applyBorder="1" applyAlignment="1">
      <alignment horizontal="right"/>
    </xf>
    <xf numFmtId="166" fontId="1" fillId="47" borderId="52" xfId="1" applyNumberFormat="1" applyFont="1" applyFill="1" applyBorder="1" applyAlignment="1">
      <alignment horizontal="right"/>
    </xf>
    <xf numFmtId="166" fontId="1" fillId="0" borderId="51" xfId="59" applyNumberFormat="1" applyFont="1" applyFill="1" applyBorder="1" applyAlignment="1">
      <alignment horizontal="right"/>
    </xf>
    <xf numFmtId="4" fontId="0" fillId="47" borderId="104" xfId="0" applyNumberFormat="1" applyFill="1" applyBorder="1"/>
    <xf numFmtId="4" fontId="0" fillId="47" borderId="106" xfId="0" applyNumberFormat="1" applyFill="1" applyBorder="1"/>
    <xf numFmtId="4" fontId="0" fillId="47" borderId="107" xfId="0" applyNumberFormat="1" applyFill="1" applyBorder="1"/>
    <xf numFmtId="166" fontId="1" fillId="47" borderId="50" xfId="59" applyNumberFormat="1" applyFont="1" applyFill="1" applyBorder="1" applyAlignment="1">
      <alignment horizontal="right"/>
    </xf>
    <xf numFmtId="166" fontId="1" fillId="47" borderId="51" xfId="0" applyNumberFormat="1" applyFont="1" applyFill="1" applyBorder="1" applyAlignment="1">
      <alignment horizontal="right"/>
    </xf>
    <xf numFmtId="167" fontId="15" fillId="47" borderId="51" xfId="0" applyNumberFormat="1" applyFont="1" applyFill="1" applyBorder="1" applyAlignment="1">
      <alignment horizontal="right"/>
    </xf>
    <xf numFmtId="166" fontId="1" fillId="47" borderId="51" xfId="59" applyNumberFormat="1" applyFont="1" applyFill="1" applyBorder="1" applyAlignment="1">
      <alignment horizontal="right"/>
    </xf>
    <xf numFmtId="0" fontId="6" fillId="0" borderId="46" xfId="58" applyFont="1" applyFill="1" applyBorder="1" applyAlignment="1">
      <alignment vertical="center"/>
    </xf>
    <xf numFmtId="0" fontId="6" fillId="0" borderId="0" xfId="58" applyFont="1" applyFill="1" applyBorder="1" applyAlignment="1">
      <alignment vertical="center"/>
    </xf>
    <xf numFmtId="0" fontId="6" fillId="2" borderId="95" xfId="58" applyFont="1" applyFill="1" applyBorder="1" applyAlignment="1">
      <alignment horizontal="center" vertical="center"/>
    </xf>
    <xf numFmtId="0" fontId="6" fillId="0" borderId="0" xfId="58" applyFont="1" applyFill="1" applyBorder="1" applyAlignment="1">
      <alignment horizontal="center" vertical="center"/>
    </xf>
    <xf numFmtId="0" fontId="6" fillId="2" borderId="113" xfId="58" applyFont="1" applyFill="1" applyBorder="1" applyAlignment="1">
      <alignment horizontal="center" vertical="center"/>
    </xf>
    <xf numFmtId="0" fontId="14" fillId="0" borderId="0" xfId="58" applyFont="1" applyFill="1" applyBorder="1" applyAlignment="1">
      <alignment horizontal="center" vertical="center"/>
    </xf>
    <xf numFmtId="166" fontId="1" fillId="0" borderId="0" xfId="1" applyNumberFormat="1" applyFont="1" applyFill="1" applyBorder="1" applyAlignment="1">
      <alignment horizontal="right"/>
    </xf>
    <xf numFmtId="3" fontId="1" fillId="47" borderId="46" xfId="59" applyNumberFormat="1" applyFont="1" applyFill="1" applyBorder="1" applyAlignment="1">
      <alignment horizontal="right"/>
    </xf>
    <xf numFmtId="3" fontId="1" fillId="47" borderId="0" xfId="0" applyNumberFormat="1" applyFont="1" applyFill="1" applyBorder="1" applyAlignment="1">
      <alignment horizontal="right"/>
    </xf>
    <xf numFmtId="3" fontId="1" fillId="47" borderId="49" xfId="1" applyNumberFormat="1" applyFont="1" applyFill="1" applyBorder="1" applyAlignment="1">
      <alignment horizontal="right"/>
    </xf>
    <xf numFmtId="3" fontId="1" fillId="47" borderId="50" xfId="59" applyNumberFormat="1" applyFont="1" applyFill="1" applyBorder="1" applyAlignment="1">
      <alignment horizontal="right"/>
    </xf>
    <xf numFmtId="3" fontId="1" fillId="47" borderId="51" xfId="0" applyNumberFormat="1" applyFont="1" applyFill="1" applyBorder="1" applyAlignment="1">
      <alignment horizontal="right"/>
    </xf>
    <xf numFmtId="3" fontId="1" fillId="47" borderId="52" xfId="1" applyNumberFormat="1" applyFont="1" applyFill="1" applyBorder="1" applyAlignment="1">
      <alignment horizontal="right"/>
    </xf>
    <xf numFmtId="0" fontId="0" fillId="0" borderId="0" xfId="0" applyBorder="1"/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3" fontId="14" fillId="2" borderId="13" xfId="0" applyNumberFormat="1" applyFont="1" applyFill="1" applyBorder="1" applyAlignment="1">
      <alignment horizontal="center" vertical="center" wrapText="1"/>
    </xf>
    <xf numFmtId="4" fontId="13" fillId="3" borderId="10" xfId="60" applyNumberFormat="1" applyFont="1" applyFill="1" applyBorder="1" applyAlignment="1">
      <alignment horizontal="left" vertical="center" wrapText="1"/>
    </xf>
    <xf numFmtId="166" fontId="9" fillId="5" borderId="13" xfId="59" applyNumberFormat="1" applyFont="1" applyFill="1" applyBorder="1" applyAlignment="1">
      <alignment horizontal="right" vertical="center"/>
    </xf>
    <xf numFmtId="166" fontId="9" fillId="0" borderId="0" xfId="1" applyNumberFormat="1" applyFont="1" applyFill="1" applyBorder="1" applyAlignment="1">
      <alignment horizontal="right"/>
    </xf>
    <xf numFmtId="3" fontId="1" fillId="4" borderId="10" xfId="0" applyNumberFormat="1" applyFont="1" applyFill="1" applyBorder="1" applyAlignment="1">
      <alignment vertical="center"/>
    </xf>
    <xf numFmtId="166" fontId="1" fillId="12" borderId="13" xfId="59" applyNumberFormat="1" applyFont="1" applyFill="1" applyBorder="1" applyAlignment="1">
      <alignment horizontal="right" vertical="center"/>
    </xf>
    <xf numFmtId="166" fontId="1" fillId="12" borderId="13" xfId="0" applyNumberFormat="1" applyFont="1" applyFill="1" applyBorder="1" applyAlignment="1">
      <alignment horizontal="right" vertical="center"/>
    </xf>
    <xf numFmtId="166" fontId="9" fillId="12" borderId="15" xfId="1" applyNumberFormat="1" applyFont="1" applyFill="1" applyBorder="1" applyAlignment="1">
      <alignment horizontal="right" vertical="center"/>
    </xf>
    <xf numFmtId="3" fontId="1" fillId="4" borderId="30" xfId="0" applyNumberFormat="1" applyFont="1" applyFill="1" applyBorder="1" applyAlignment="1">
      <alignment vertical="center"/>
    </xf>
    <xf numFmtId="166" fontId="1" fillId="12" borderId="31" xfId="59" applyNumberFormat="1" applyFont="1" applyFill="1" applyBorder="1" applyAlignment="1">
      <alignment horizontal="right" vertical="center"/>
    </xf>
    <xf numFmtId="166" fontId="1" fillId="12" borderId="31" xfId="0" applyNumberFormat="1" applyFont="1" applyFill="1" applyBorder="1" applyAlignment="1">
      <alignment horizontal="right" vertical="center"/>
    </xf>
    <xf numFmtId="167" fontId="15" fillId="12" borderId="31" xfId="0" applyNumberFormat="1" applyFont="1" applyFill="1" applyBorder="1" applyAlignment="1">
      <alignment horizontal="right" vertical="center"/>
    </xf>
    <xf numFmtId="166" fontId="9" fillId="12" borderId="32" xfId="1" applyNumberFormat="1" applyFont="1" applyFill="1" applyBorder="1" applyAlignment="1">
      <alignment horizontal="right" vertical="center"/>
    </xf>
    <xf numFmtId="166" fontId="0" fillId="0" borderId="0" xfId="0" applyNumberFormat="1" applyFill="1" applyBorder="1" applyAlignment="1">
      <alignment horizontal="right" vertical="center"/>
    </xf>
    <xf numFmtId="3" fontId="6" fillId="2" borderId="6" xfId="59" applyNumberFormat="1" applyFont="1" applyFill="1" applyBorder="1" applyAlignment="1">
      <alignment horizontal="center" vertical="center" wrapText="1"/>
    </xf>
    <xf numFmtId="3" fontId="6" fillId="2" borderId="7" xfId="59" applyNumberFormat="1" applyFont="1" applyFill="1" applyBorder="1" applyAlignment="1">
      <alignment horizontal="center" vertical="center"/>
    </xf>
    <xf numFmtId="4" fontId="6" fillId="2" borderId="4" xfId="60" applyNumberFormat="1" applyFont="1" applyFill="1" applyBorder="1" applyAlignment="1">
      <alignment horizontal="center" vertical="center" wrapText="1"/>
    </xf>
    <xf numFmtId="4" fontId="6" fillId="2" borderId="1" xfId="60" applyNumberFormat="1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vertical="center"/>
    </xf>
    <xf numFmtId="166" fontId="51" fillId="13" borderId="18" xfId="0" applyNumberFormat="1" applyFont="1" applyFill="1" applyBorder="1" applyAlignment="1">
      <alignment horizontal="right" vertical="center"/>
    </xf>
    <xf numFmtId="167" fontId="16" fillId="13" borderId="18" xfId="0" applyNumberFormat="1" applyFont="1" applyFill="1" applyBorder="1" applyAlignment="1">
      <alignment horizontal="right" vertical="center"/>
    </xf>
    <xf numFmtId="166" fontId="9" fillId="13" borderId="20" xfId="1" applyNumberFormat="1" applyFont="1" applyFill="1" applyBorder="1" applyAlignment="1">
      <alignment horizontal="right" vertical="center"/>
    </xf>
    <xf numFmtId="0" fontId="1" fillId="12" borderId="8" xfId="0" applyFont="1" applyFill="1" applyBorder="1" applyAlignment="1">
      <alignment vertical="center"/>
    </xf>
    <xf numFmtId="166" fontId="0" fillId="4" borderId="18" xfId="0" applyNumberFormat="1" applyFill="1" applyBorder="1" applyAlignment="1">
      <alignment horizontal="right" vertical="center"/>
    </xf>
    <xf numFmtId="167" fontId="15" fillId="4" borderId="18" xfId="0" applyNumberFormat="1" applyFont="1" applyFill="1" applyBorder="1" applyAlignment="1">
      <alignment horizontal="right" vertical="center"/>
    </xf>
    <xf numFmtId="166" fontId="9" fillId="4" borderId="20" xfId="1" applyNumberFormat="1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4" fontId="9" fillId="0" borderId="117" xfId="60" applyNumberFormat="1" applyFont="1" applyFill="1" applyBorder="1" applyAlignment="1">
      <alignment horizontal="left" wrapText="1"/>
    </xf>
    <xf numFmtId="3" fontId="9" fillId="0" borderId="0" xfId="61" applyNumberFormat="1" applyFont="1" applyFill="1" applyBorder="1" applyAlignment="1">
      <alignment vertical="center"/>
    </xf>
    <xf numFmtId="3" fontId="9" fillId="0" borderId="49" xfId="61" applyNumberFormat="1" applyFont="1" applyFill="1" applyBorder="1" applyAlignment="1">
      <alignment vertical="center"/>
    </xf>
    <xf numFmtId="3" fontId="1" fillId="0" borderId="95" xfId="0" applyNumberFormat="1" applyFont="1" applyFill="1" applyBorder="1"/>
    <xf numFmtId="3" fontId="1" fillId="0" borderId="0" xfId="61" applyNumberFormat="1" applyFont="1" applyFill="1" applyBorder="1" applyAlignment="1">
      <alignment vertical="center"/>
    </xf>
    <xf numFmtId="3" fontId="1" fillId="0" borderId="49" xfId="61" applyNumberFormat="1" applyFont="1" applyFill="1" applyBorder="1" applyAlignment="1">
      <alignment vertical="center"/>
    </xf>
    <xf numFmtId="0" fontId="1" fillId="0" borderId="113" xfId="58" applyFont="1" applyBorder="1" applyAlignment="1">
      <alignment vertical="center"/>
    </xf>
    <xf numFmtId="3" fontId="1" fillId="0" borderId="51" xfId="61" applyNumberFormat="1" applyFont="1" applyFill="1" applyBorder="1" applyAlignment="1">
      <alignment vertical="center"/>
    </xf>
    <xf numFmtId="3" fontId="1" fillId="0" borderId="52" xfId="61" applyNumberFormat="1" applyFont="1" applyFill="1" applyBorder="1" applyAlignment="1">
      <alignment vertical="center"/>
    </xf>
    <xf numFmtId="0" fontId="6" fillId="2" borderId="118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 wrapText="1"/>
    </xf>
    <xf numFmtId="170" fontId="16" fillId="0" borderId="0" xfId="61" applyNumberFormat="1" applyFont="1" applyFill="1" applyBorder="1" applyAlignment="1">
      <alignment vertical="center"/>
    </xf>
    <xf numFmtId="170" fontId="16" fillId="0" borderId="49" xfId="61" applyNumberFormat="1" applyFont="1" applyFill="1" applyBorder="1" applyAlignment="1">
      <alignment vertical="center"/>
    </xf>
    <xf numFmtId="170" fontId="15" fillId="0" borderId="0" xfId="61" applyNumberFormat="1" applyFont="1" applyFill="1" applyBorder="1" applyAlignment="1">
      <alignment vertical="center"/>
    </xf>
    <xf numFmtId="170" fontId="15" fillId="0" borderId="49" xfId="61" applyNumberFormat="1" applyFont="1" applyFill="1" applyBorder="1" applyAlignment="1">
      <alignment vertical="center"/>
    </xf>
    <xf numFmtId="170" fontId="15" fillId="0" borderId="51" xfId="61" applyNumberFormat="1" applyFont="1" applyFill="1" applyBorder="1" applyAlignment="1">
      <alignment vertical="center"/>
    </xf>
    <xf numFmtId="170" fontId="15" fillId="0" borderId="52" xfId="6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3" borderId="11" xfId="59" applyNumberFormat="1" applyFont="1" applyFill="1" applyBorder="1" applyAlignment="1">
      <alignment vertical="center"/>
    </xf>
    <xf numFmtId="3" fontId="9" fillId="5" borderId="13" xfId="61" applyNumberFormat="1" applyFont="1" applyFill="1" applyBorder="1" applyAlignment="1">
      <alignment vertical="center"/>
    </xf>
    <xf numFmtId="170" fontId="16" fillId="5" borderId="13" xfId="61" applyNumberFormat="1" applyFont="1" applyFill="1" applyBorder="1" applyAlignment="1">
      <alignment vertical="center"/>
    </xf>
    <xf numFmtId="170" fontId="16" fillId="5" borderId="15" xfId="61" applyNumberFormat="1" applyFont="1" applyFill="1" applyBorder="1" applyAlignment="1">
      <alignment vertical="center"/>
    </xf>
    <xf numFmtId="0" fontId="1" fillId="12" borderId="10" xfId="0" applyFont="1" applyFill="1" applyBorder="1" applyAlignment="1">
      <alignment vertical="center"/>
    </xf>
    <xf numFmtId="3" fontId="1" fillId="4" borderId="13" xfId="61" applyNumberFormat="1" applyFont="1" applyFill="1" applyBorder="1" applyAlignment="1">
      <alignment vertical="center"/>
    </xf>
    <xf numFmtId="170" fontId="15" fillId="4" borderId="13" xfId="61" applyNumberFormat="1" applyFont="1" applyFill="1" applyBorder="1" applyAlignment="1">
      <alignment vertical="center"/>
    </xf>
    <xf numFmtId="170" fontId="15" fillId="4" borderId="15" xfId="61" applyNumberFormat="1" applyFont="1" applyFill="1" applyBorder="1" applyAlignment="1">
      <alignment vertical="center"/>
    </xf>
    <xf numFmtId="0" fontId="1" fillId="12" borderId="30" xfId="0" applyFont="1" applyFill="1" applyBorder="1" applyAlignment="1">
      <alignment vertical="center"/>
    </xf>
    <xf numFmtId="3" fontId="1" fillId="4" borderId="31" xfId="61" applyNumberFormat="1" applyFont="1" applyFill="1" applyBorder="1" applyAlignment="1">
      <alignment vertical="center"/>
    </xf>
    <xf numFmtId="170" fontId="15" fillId="4" borderId="31" xfId="61" applyNumberFormat="1" applyFont="1" applyFill="1" applyBorder="1" applyAlignment="1">
      <alignment vertical="center"/>
    </xf>
    <xf numFmtId="170" fontId="15" fillId="4" borderId="32" xfId="61" applyNumberFormat="1" applyFont="1" applyFill="1" applyBorder="1" applyAlignment="1">
      <alignment vertical="center"/>
    </xf>
    <xf numFmtId="0" fontId="1" fillId="0" borderId="0" xfId="62" applyBorder="1"/>
    <xf numFmtId="0" fontId="1" fillId="0" borderId="0" xfId="62"/>
    <xf numFmtId="0" fontId="47" fillId="0" borderId="0" xfId="62" applyFont="1"/>
    <xf numFmtId="0" fontId="9" fillId="0" borderId="0" xfId="62" applyFont="1"/>
    <xf numFmtId="0" fontId="13" fillId="2" borderId="66" xfId="62" applyFont="1" applyFill="1" applyBorder="1" applyAlignment="1">
      <alignment wrapText="1"/>
    </xf>
    <xf numFmtId="0" fontId="13" fillId="2" borderId="66" xfId="62" applyFont="1" applyFill="1" applyBorder="1" applyAlignment="1">
      <alignment horizontal="right" wrapText="1"/>
    </xf>
    <xf numFmtId="0" fontId="13" fillId="2" borderId="67" xfId="62" applyFont="1" applyFill="1" applyBorder="1" applyAlignment="1">
      <alignment horizontal="right" wrapText="1"/>
    </xf>
    <xf numFmtId="0" fontId="1" fillId="0" borderId="69" xfId="62" applyBorder="1"/>
    <xf numFmtId="3" fontId="1" fillId="0" borderId="69" xfId="62" applyNumberFormat="1" applyBorder="1"/>
    <xf numFmtId="4" fontId="1" fillId="61" borderId="70" xfId="62" applyNumberFormat="1" applyFill="1" applyBorder="1"/>
    <xf numFmtId="3" fontId="1" fillId="0" borderId="0" xfId="62" applyNumberFormat="1" applyBorder="1"/>
    <xf numFmtId="4" fontId="1" fillId="61" borderId="94" xfId="62" applyNumberFormat="1" applyFill="1" applyBorder="1"/>
    <xf numFmtId="0" fontId="1" fillId="0" borderId="73" xfId="62" applyFont="1" applyBorder="1"/>
    <xf numFmtId="3" fontId="1" fillId="0" borderId="73" xfId="62" applyNumberFormat="1" applyFont="1" applyBorder="1"/>
    <xf numFmtId="4" fontId="1" fillId="61" borderId="74" xfId="62" applyNumberFormat="1" applyFill="1" applyBorder="1"/>
    <xf numFmtId="4" fontId="1" fillId="0" borderId="0" xfId="62" applyNumberFormat="1" applyBorder="1"/>
    <xf numFmtId="0" fontId="1" fillId="0" borderId="68" xfId="53" applyFont="1" applyBorder="1"/>
    <xf numFmtId="3" fontId="1" fillId="0" borderId="0" xfId="62" applyNumberFormat="1"/>
    <xf numFmtId="4" fontId="1" fillId="0" borderId="0" xfId="62" applyNumberFormat="1"/>
    <xf numFmtId="0" fontId="6" fillId="2" borderId="75" xfId="62" applyFont="1" applyFill="1" applyBorder="1" applyAlignment="1">
      <alignment wrapText="1"/>
    </xf>
    <xf numFmtId="0" fontId="13" fillId="2" borderId="69" xfId="62" applyFont="1" applyFill="1" applyBorder="1" applyAlignment="1">
      <alignment wrapText="1"/>
    </xf>
    <xf numFmtId="0" fontId="13" fillId="2" borderId="69" xfId="62" applyFont="1" applyFill="1" applyBorder="1" applyAlignment="1">
      <alignment horizontal="right" wrapText="1"/>
    </xf>
    <xf numFmtId="0" fontId="13" fillId="2" borderId="70" xfId="62" applyFont="1" applyFill="1" applyBorder="1" applyAlignment="1">
      <alignment horizontal="right" wrapText="1"/>
    </xf>
    <xf numFmtId="0" fontId="1" fillId="0" borderId="76" xfId="62" applyBorder="1"/>
    <xf numFmtId="0" fontId="1" fillId="0" borderId="69" xfId="62" applyFill="1" applyBorder="1" applyAlignment="1"/>
    <xf numFmtId="4" fontId="1" fillId="61" borderId="69" xfId="62" applyNumberFormat="1" applyFill="1" applyBorder="1"/>
    <xf numFmtId="0" fontId="1" fillId="0" borderId="77" xfId="62" applyBorder="1"/>
    <xf numFmtId="0" fontId="1" fillId="0" borderId="0" xfId="62" applyFill="1" applyBorder="1" applyAlignment="1">
      <alignment wrapText="1"/>
    </xf>
    <xf numFmtId="4" fontId="1" fillId="61" borderId="0" xfId="62" applyNumberFormat="1" applyFill="1" applyBorder="1"/>
    <xf numFmtId="0" fontId="1" fillId="0" borderId="0" xfId="62" applyFill="1" applyBorder="1" applyAlignment="1"/>
    <xf numFmtId="0" fontId="1" fillId="0" borderId="0" xfId="62" applyBorder="1" applyAlignment="1"/>
    <xf numFmtId="0" fontId="1" fillId="0" borderId="78" xfId="62" applyBorder="1"/>
    <xf numFmtId="0" fontId="1" fillId="0" borderId="73" xfId="62" applyBorder="1" applyAlignment="1"/>
    <xf numFmtId="3" fontId="1" fillId="0" borderId="73" xfId="62" applyNumberFormat="1" applyBorder="1"/>
    <xf numFmtId="4" fontId="1" fillId="61" borderId="73" xfId="62" applyNumberFormat="1" applyFill="1" applyBorder="1"/>
    <xf numFmtId="0" fontId="1" fillId="0" borderId="0" xfId="62" applyFill="1"/>
    <xf numFmtId="0" fontId="1" fillId="0" borderId="0" xfId="62" applyFill="1" applyBorder="1"/>
    <xf numFmtId="3" fontId="13" fillId="2" borderId="69" xfId="62" applyNumberFormat="1" applyFont="1" applyFill="1" applyBorder="1" applyAlignment="1">
      <alignment horizontal="right" wrapText="1"/>
    </xf>
    <xf numFmtId="0" fontId="13" fillId="0" borderId="0" xfId="62" applyFont="1" applyFill="1" applyBorder="1" applyAlignment="1">
      <alignment wrapText="1"/>
    </xf>
    <xf numFmtId="4" fontId="1" fillId="0" borderId="0" xfId="62" applyNumberFormat="1" applyFill="1" applyBorder="1"/>
    <xf numFmtId="4" fontId="1" fillId="0" borderId="94" xfId="62" applyNumberFormat="1" applyBorder="1"/>
    <xf numFmtId="0" fontId="1" fillId="0" borderId="66" xfId="53" applyFont="1" applyBorder="1"/>
    <xf numFmtId="3" fontId="1" fillId="0" borderId="0" xfId="53" applyNumberFormat="1" applyFont="1"/>
    <xf numFmtId="0" fontId="1" fillId="0" borderId="0" xfId="53" applyFont="1" applyBorder="1"/>
    <xf numFmtId="0" fontId="1" fillId="0" borderId="81" xfId="53" applyFont="1" applyBorder="1"/>
    <xf numFmtId="3" fontId="1" fillId="63" borderId="81" xfId="53" applyNumberFormat="1" applyFont="1" applyFill="1" applyBorder="1"/>
    <xf numFmtId="3" fontId="1" fillId="0" borderId="0" xfId="53" applyNumberFormat="1" applyFont="1" applyBorder="1"/>
    <xf numFmtId="0" fontId="1" fillId="0" borderId="0" xfId="53" applyFont="1"/>
    <xf numFmtId="0" fontId="1" fillId="0" borderId="0" xfId="53" applyFont="1" applyFill="1" applyBorder="1"/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3" fontId="9" fillId="4" borderId="4" xfId="1" applyNumberFormat="1" applyFont="1" applyFill="1" applyBorder="1" applyAlignment="1">
      <alignment horizontal="right" vertical="center"/>
    </xf>
    <xf numFmtId="3" fontId="8" fillId="4" borderId="4" xfId="3" applyNumberFormat="1" applyFon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9" fillId="4" borderId="4" xfId="1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3" fontId="8" fillId="4" borderId="4" xfId="5" applyNumberFormat="1" applyFill="1" applyBorder="1" applyAlignment="1">
      <alignment horizontal="right" vertical="center"/>
    </xf>
    <xf numFmtId="3" fontId="9" fillId="11" borderId="23" xfId="5" applyNumberFormat="1" applyFont="1" applyFill="1" applyBorder="1" applyAlignment="1">
      <alignment vertical="center"/>
    </xf>
    <xf numFmtId="3" fontId="9" fillId="5" borderId="4" xfId="5" applyNumberFormat="1" applyFont="1" applyFill="1" applyBorder="1" applyAlignment="1">
      <alignment vertical="center"/>
    </xf>
    <xf numFmtId="3" fontId="15" fillId="4" borderId="4" xfId="3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170" fontId="15" fillId="4" borderId="13" xfId="0" applyNumberFormat="1" applyFont="1" applyFill="1" applyBorder="1" applyAlignment="1">
      <alignment horizontal="right" vertical="center"/>
    </xf>
    <xf numFmtId="170" fontId="16" fillId="13" borderId="56" xfId="0" applyNumberFormat="1" applyFont="1" applyFill="1" applyBorder="1" applyAlignment="1">
      <alignment horizontal="right" vertical="center"/>
    </xf>
    <xf numFmtId="166" fontId="8" fillId="10" borderId="23" xfId="3" applyNumberFormat="1" applyFont="1" applyFill="1" applyBorder="1" applyAlignment="1">
      <alignment vertical="center"/>
    </xf>
    <xf numFmtId="166" fontId="8" fillId="10" borderId="23" xfId="0" applyNumberFormat="1" applyFont="1" applyFill="1" applyBorder="1" applyAlignment="1">
      <alignment vertical="center"/>
    </xf>
    <xf numFmtId="166" fontId="9" fillId="10" borderId="23" xfId="1" applyNumberFormat="1" applyFont="1" applyFill="1" applyBorder="1" applyAlignment="1">
      <alignment vertical="center"/>
    </xf>
    <xf numFmtId="166" fontId="9" fillId="11" borderId="23" xfId="0" applyNumberFormat="1" applyFont="1" applyFill="1" applyBorder="1" applyAlignment="1">
      <alignment vertical="center"/>
    </xf>
    <xf numFmtId="166" fontId="8" fillId="10" borderId="23" xfId="3" applyNumberFormat="1" applyFont="1" applyFill="1" applyBorder="1" applyAlignment="1">
      <alignment horizontal="right" vertical="center"/>
    </xf>
    <xf numFmtId="166" fontId="8" fillId="10" borderId="23" xfId="5" applyNumberFormat="1" applyFont="1" applyFill="1" applyBorder="1" applyAlignment="1">
      <alignment horizontal="right" vertical="center"/>
    </xf>
    <xf numFmtId="166" fontId="9" fillId="10" borderId="23" xfId="1" applyNumberFormat="1" applyFont="1" applyFill="1" applyBorder="1" applyAlignment="1">
      <alignment horizontal="right" vertical="center"/>
    </xf>
    <xf numFmtId="1" fontId="0" fillId="0" borderId="0" xfId="0" applyNumberFormat="1" applyAlignment="1">
      <alignment vertical="center"/>
    </xf>
    <xf numFmtId="1" fontId="8" fillId="4" borderId="3" xfId="0" applyNumberFormat="1" applyFont="1" applyFill="1" applyBorder="1" applyAlignment="1">
      <alignment vertical="center"/>
    </xf>
    <xf numFmtId="1" fontId="8" fillId="4" borderId="13" xfId="3" applyNumberFormat="1" applyFont="1" applyFill="1" applyBorder="1" applyAlignment="1">
      <alignment horizontal="right" vertical="center"/>
    </xf>
    <xf numFmtId="1" fontId="8" fillId="4" borderId="15" xfId="3" applyNumberFormat="1" applyFont="1" applyFill="1" applyBorder="1" applyAlignment="1">
      <alignment horizontal="right" vertical="center"/>
    </xf>
    <xf numFmtId="3" fontId="9" fillId="5" borderId="13" xfId="59" applyNumberFormat="1" applyFont="1" applyFill="1" applyBorder="1" applyAlignment="1">
      <alignment horizontal="right" vertical="center"/>
    </xf>
    <xf numFmtId="3" fontId="1" fillId="12" borderId="13" xfId="59" applyNumberFormat="1" applyFont="1" applyFill="1" applyBorder="1" applyAlignment="1">
      <alignment horizontal="right" vertical="center"/>
    </xf>
    <xf numFmtId="3" fontId="1" fillId="12" borderId="13" xfId="0" applyNumberFormat="1" applyFont="1" applyFill="1" applyBorder="1" applyAlignment="1">
      <alignment horizontal="right" vertical="center"/>
    </xf>
    <xf numFmtId="3" fontId="1" fillId="12" borderId="31" xfId="59" applyNumberFormat="1" applyFont="1" applyFill="1" applyBorder="1" applyAlignment="1">
      <alignment horizontal="right" vertical="center"/>
    </xf>
    <xf numFmtId="3" fontId="1" fillId="12" borderId="31" xfId="0" applyNumberFormat="1" applyFont="1" applyFill="1" applyBorder="1" applyAlignment="1">
      <alignment horizontal="right" vertical="center"/>
    </xf>
    <xf numFmtId="3" fontId="9" fillId="12" borderId="15" xfId="1" applyNumberFormat="1" applyFont="1" applyFill="1" applyBorder="1" applyAlignment="1">
      <alignment horizontal="right" vertical="center"/>
    </xf>
    <xf numFmtId="3" fontId="9" fillId="12" borderId="32" xfId="1" applyNumberFormat="1" applyFont="1" applyFill="1" applyBorder="1" applyAlignment="1">
      <alignment horizontal="right" vertical="center"/>
    </xf>
    <xf numFmtId="3" fontId="16" fillId="5" borderId="13" xfId="0" applyNumberFormat="1" applyFont="1" applyFill="1" applyBorder="1" applyAlignment="1">
      <alignment horizontal="right" vertical="center"/>
    </xf>
    <xf numFmtId="3" fontId="15" fillId="12" borderId="13" xfId="0" applyNumberFormat="1" applyFont="1" applyFill="1" applyBorder="1" applyAlignment="1">
      <alignment horizontal="right" vertical="center"/>
    </xf>
    <xf numFmtId="3" fontId="15" fillId="12" borderId="31" xfId="0" applyNumberFormat="1" applyFont="1" applyFill="1" applyBorder="1" applyAlignment="1">
      <alignment horizontal="right" vertical="center"/>
    </xf>
    <xf numFmtId="3" fontId="8" fillId="12" borderId="13" xfId="3" applyNumberFormat="1" applyFont="1" applyFill="1" applyBorder="1" applyAlignment="1">
      <alignment horizontal="right" vertical="center"/>
    </xf>
    <xf numFmtId="3" fontId="0" fillId="12" borderId="13" xfId="0" applyNumberFormat="1" applyFill="1" applyBorder="1" applyAlignment="1">
      <alignment horizontal="right" vertical="center"/>
    </xf>
    <xf numFmtId="3" fontId="9" fillId="13" borderId="13" xfId="0" applyNumberFormat="1" applyFont="1" applyFill="1" applyBorder="1" applyAlignment="1">
      <alignment horizontal="right" vertical="center"/>
    </xf>
    <xf numFmtId="3" fontId="9" fillId="13" borderId="15" xfId="1" applyNumberFormat="1" applyFont="1" applyFill="1" applyBorder="1" applyAlignment="1">
      <alignment horizontal="right" vertical="center"/>
    </xf>
    <xf numFmtId="3" fontId="6" fillId="6" borderId="11" xfId="2" applyNumberFormat="1" applyFont="1" applyFill="1" applyBorder="1" applyAlignment="1">
      <alignment horizontal="right" vertical="center"/>
    </xf>
    <xf numFmtId="3" fontId="13" fillId="6" borderId="11" xfId="2" applyNumberFormat="1" applyFont="1" applyFill="1" applyBorder="1" applyAlignment="1">
      <alignment horizontal="right" vertical="center"/>
    </xf>
    <xf numFmtId="3" fontId="9" fillId="13" borderId="31" xfId="3" applyNumberFormat="1" applyFont="1" applyFill="1" applyBorder="1" applyAlignment="1">
      <alignment horizontal="right" vertical="center"/>
    </xf>
    <xf numFmtId="3" fontId="9" fillId="13" borderId="31" xfId="0" applyNumberFormat="1" applyFont="1" applyFill="1" applyBorder="1" applyAlignment="1">
      <alignment horizontal="right" vertical="center"/>
    </xf>
    <xf numFmtId="3" fontId="9" fillId="13" borderId="32" xfId="1" applyNumberFormat="1" applyFont="1" applyFill="1" applyBorder="1" applyAlignment="1">
      <alignment horizontal="right" vertical="center"/>
    </xf>
    <xf numFmtId="3" fontId="9" fillId="47" borderId="0" xfId="53" applyNumberFormat="1" applyFont="1" applyFill="1" applyBorder="1"/>
    <xf numFmtId="3" fontId="9" fillId="47" borderId="49" xfId="53" applyNumberFormat="1" applyFont="1" applyFill="1" applyBorder="1"/>
    <xf numFmtId="3" fontId="8" fillId="0" borderId="0" xfId="53" applyNumberFormat="1" applyFont="1" applyBorder="1"/>
    <xf numFmtId="3" fontId="1" fillId="0" borderId="0" xfId="53" applyNumberFormat="1" applyBorder="1"/>
    <xf numFmtId="3" fontId="1" fillId="0" borderId="49" xfId="53" applyNumberFormat="1" applyBorder="1"/>
    <xf numFmtId="3" fontId="8" fillId="0" borderId="51" xfId="53" applyNumberFormat="1" applyFont="1" applyBorder="1"/>
    <xf numFmtId="3" fontId="8" fillId="0" borderId="52" xfId="53" applyNumberFormat="1" applyFont="1" applyBorder="1"/>
    <xf numFmtId="3" fontId="9" fillId="47" borderId="0" xfId="42" applyNumberFormat="1" applyFont="1" applyFill="1" applyBorder="1"/>
    <xf numFmtId="3" fontId="9" fillId="47" borderId="49" xfId="42" applyNumberFormat="1" applyFont="1" applyFill="1" applyBorder="1"/>
    <xf numFmtId="3" fontId="8" fillId="0" borderId="0" xfId="42" applyNumberFormat="1" applyBorder="1"/>
    <xf numFmtId="3" fontId="8" fillId="0" borderId="49" xfId="42" applyNumberFormat="1" applyBorder="1"/>
    <xf numFmtId="3" fontId="8" fillId="0" borderId="51" xfId="42" applyNumberFormat="1" applyFont="1" applyBorder="1"/>
    <xf numFmtId="3" fontId="8" fillId="0" borderId="52" xfId="42" applyNumberFormat="1" applyFont="1" applyBorder="1"/>
    <xf numFmtId="3" fontId="8" fillId="12" borderId="13" xfId="0" applyNumberFormat="1" applyFont="1" applyFill="1" applyBorder="1" applyAlignment="1">
      <alignment horizontal="right" vertical="center"/>
    </xf>
    <xf numFmtId="3" fontId="15" fillId="4" borderId="4" xfId="59" applyNumberFormat="1" applyFont="1" applyFill="1" applyBorder="1" applyAlignment="1">
      <alignment horizontal="right" vertical="center"/>
    </xf>
    <xf numFmtId="3" fontId="15" fillId="4" borderId="18" xfId="59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1" fillId="12" borderId="121" xfId="0" applyNumberFormat="1" applyFont="1" applyFill="1" applyBorder="1"/>
    <xf numFmtId="3" fontId="1" fillId="12" borderId="122" xfId="0" applyNumberFormat="1" applyFont="1" applyFill="1" applyBorder="1"/>
    <xf numFmtId="9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3" fontId="16" fillId="13" borderId="18" xfId="0" applyNumberFormat="1" applyFont="1" applyFill="1" applyBorder="1" applyAlignment="1">
      <alignment horizontal="right" vertical="center"/>
    </xf>
    <xf numFmtId="3" fontId="15" fillId="4" borderId="18" xfId="0" applyNumberFormat="1" applyFont="1" applyFill="1" applyBorder="1" applyAlignment="1">
      <alignment horizontal="right" vertical="center"/>
    </xf>
    <xf numFmtId="3" fontId="5" fillId="8" borderId="0" xfId="0" applyNumberFormat="1" applyFont="1" applyFill="1" applyAlignment="1"/>
    <xf numFmtId="3" fontId="5" fillId="8" borderId="0" xfId="0" applyNumberFormat="1" applyFont="1" applyFill="1"/>
    <xf numFmtId="0" fontId="0" fillId="47" borderId="124" xfId="0" applyFont="1" applyFill="1" applyBorder="1"/>
    <xf numFmtId="0" fontId="0" fillId="47" borderId="124" xfId="0" applyFont="1" applyFill="1" applyBorder="1" applyAlignment="1"/>
    <xf numFmtId="10" fontId="0" fillId="47" borderId="124" xfId="0" applyNumberFormat="1" applyFont="1" applyFill="1" applyBorder="1" applyAlignment="1"/>
    <xf numFmtId="10" fontId="0" fillId="47" borderId="125" xfId="0" applyNumberFormat="1" applyFont="1" applyFill="1" applyBorder="1" applyAlignment="1"/>
    <xf numFmtId="10" fontId="0" fillId="47" borderId="126" xfId="0" applyNumberFormat="1" applyFont="1" applyFill="1" applyBorder="1" applyAlignment="1"/>
    <xf numFmtId="0" fontId="6" fillId="2" borderId="1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67" fontId="48" fillId="4" borderId="13" xfId="0" applyNumberFormat="1" applyFont="1" applyFill="1" applyBorder="1" applyAlignment="1">
      <alignment vertical="center"/>
    </xf>
    <xf numFmtId="170" fontId="15" fillId="4" borderId="1" xfId="4" applyNumberFormat="1" applyFont="1" applyFill="1" applyBorder="1" applyAlignment="1">
      <alignment vertical="center"/>
    </xf>
    <xf numFmtId="170" fontId="15" fillId="4" borderId="20" xfId="4" applyNumberFormat="1" applyFont="1" applyFill="1" applyBorder="1" applyAlignment="1">
      <alignment vertical="center"/>
    </xf>
    <xf numFmtId="170" fontId="16" fillId="5" borderId="1" xfId="4" applyNumberFormat="1" applyFont="1" applyFill="1" applyBorder="1" applyAlignment="1">
      <alignment vertical="center"/>
    </xf>
    <xf numFmtId="167" fontId="15" fillId="5" borderId="13" xfId="4" applyNumberFormat="1" applyFont="1" applyFill="1" applyBorder="1" applyAlignment="1">
      <alignment vertical="center"/>
    </xf>
    <xf numFmtId="167" fontId="15" fillId="4" borderId="13" xfId="4" applyNumberFormat="1" applyFont="1" applyFill="1" applyBorder="1" applyAlignment="1">
      <alignment vertical="center"/>
    </xf>
    <xf numFmtId="167" fontId="15" fillId="4" borderId="31" xfId="4" applyNumberFormat="1" applyFont="1" applyFill="1" applyBorder="1" applyAlignment="1">
      <alignment vertical="center"/>
    </xf>
    <xf numFmtId="167" fontId="15" fillId="5" borderId="15" xfId="4" applyNumberFormat="1" applyFont="1" applyFill="1" applyBorder="1" applyAlignment="1">
      <alignment vertical="center"/>
    </xf>
    <xf numFmtId="167" fontId="15" fillId="4" borderId="15" xfId="4" applyNumberFormat="1" applyFont="1" applyFill="1" applyBorder="1" applyAlignment="1">
      <alignment vertical="center"/>
    </xf>
    <xf numFmtId="167" fontId="15" fillId="4" borderId="32" xfId="4" applyNumberFormat="1" applyFont="1" applyFill="1" applyBorder="1" applyAlignment="1">
      <alignment vertical="center"/>
    </xf>
    <xf numFmtId="167" fontId="15" fillId="12" borderId="15" xfId="0" applyNumberFormat="1" applyFont="1" applyFill="1" applyBorder="1" applyAlignment="1">
      <alignment horizontal="right" vertical="center"/>
    </xf>
    <xf numFmtId="167" fontId="16" fillId="13" borderId="32" xfId="0" applyNumberFormat="1" applyFont="1" applyFill="1" applyBorder="1" applyAlignment="1">
      <alignment horizontal="right" vertical="center"/>
    </xf>
    <xf numFmtId="167" fontId="16" fillId="13" borderId="13" xfId="0" applyNumberFormat="1" applyFont="1" applyFill="1" applyBorder="1" applyAlignment="1">
      <alignment horizontal="right" vertical="center"/>
    </xf>
    <xf numFmtId="167" fontId="14" fillId="6" borderId="11" xfId="0" applyNumberFormat="1" applyFont="1" applyFill="1" applyBorder="1" applyAlignment="1">
      <alignment horizontal="right" vertical="center"/>
    </xf>
    <xf numFmtId="167" fontId="16" fillId="13" borderId="31" xfId="0" applyNumberFormat="1" applyFont="1" applyFill="1" applyBorder="1" applyAlignment="1">
      <alignment horizontal="right" vertical="center"/>
    </xf>
    <xf numFmtId="0" fontId="1" fillId="0" borderId="0" xfId="0" applyFont="1"/>
    <xf numFmtId="3" fontId="9" fillId="0" borderId="46" xfId="59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1" fillId="0" borderId="46" xfId="59" applyNumberFormat="1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50" xfId="59" applyNumberFormat="1" applyFont="1" applyFill="1" applyBorder="1" applyAlignment="1">
      <alignment horizontal="right"/>
    </xf>
    <xf numFmtId="3" fontId="1" fillId="0" borderId="51" xfId="0" applyNumberFormat="1" applyFont="1" applyFill="1" applyBorder="1" applyAlignment="1">
      <alignment horizontal="right"/>
    </xf>
    <xf numFmtId="3" fontId="9" fillId="0" borderId="0" xfId="59" applyNumberFormat="1" applyFont="1" applyFill="1" applyBorder="1" applyAlignment="1">
      <alignment horizontal="right"/>
    </xf>
    <xf numFmtId="3" fontId="1" fillId="0" borderId="0" xfId="59" applyNumberFormat="1" applyFont="1" applyFill="1" applyBorder="1" applyAlignment="1">
      <alignment horizontal="right"/>
    </xf>
    <xf numFmtId="3" fontId="1" fillId="0" borderId="51" xfId="59" applyNumberFormat="1" applyFont="1" applyFill="1" applyBorder="1" applyAlignment="1">
      <alignment horizontal="right"/>
    </xf>
    <xf numFmtId="3" fontId="1" fillId="47" borderId="0" xfId="59" applyNumberFormat="1" applyFont="1" applyFill="1" applyBorder="1" applyAlignment="1">
      <alignment horizontal="right"/>
    </xf>
    <xf numFmtId="3" fontId="1" fillId="47" borderId="51" xfId="59" applyNumberFormat="1" applyFont="1" applyFill="1" applyBorder="1" applyAlignment="1">
      <alignment horizontal="right"/>
    </xf>
    <xf numFmtId="0" fontId="53" fillId="0" borderId="0" xfId="0" applyFont="1"/>
    <xf numFmtId="166" fontId="0" fillId="0" borderId="103" xfId="0" applyNumberFormat="1" applyBorder="1"/>
    <xf numFmtId="167" fontId="15" fillId="4" borderId="4" xfId="3" applyNumberFormat="1" applyFont="1" applyFill="1" applyBorder="1" applyAlignment="1">
      <alignment horizontal="right" vertical="center"/>
    </xf>
    <xf numFmtId="172" fontId="9" fillId="13" borderId="13" xfId="4" applyNumberFormat="1" applyFont="1" applyFill="1" applyBorder="1" applyAlignment="1">
      <alignment horizontal="right" vertical="center"/>
    </xf>
    <xf numFmtId="172" fontId="8" fillId="12" borderId="13" xfId="4" applyNumberFormat="1" applyFont="1" applyFill="1" applyBorder="1" applyAlignment="1">
      <alignment horizontal="right" vertical="center"/>
    </xf>
    <xf numFmtId="172" fontId="8" fillId="12" borderId="31" xfId="4" applyNumberFormat="1" applyFont="1" applyFill="1" applyBorder="1" applyAlignment="1">
      <alignment horizontal="right" vertical="center"/>
    </xf>
    <xf numFmtId="3" fontId="6" fillId="2" borderId="14" xfId="0" applyNumberFormat="1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0" fontId="8" fillId="0" borderId="106" xfId="51" applyFont="1" applyFill="1" applyBorder="1" applyAlignment="1">
      <alignment horizontal="left"/>
    </xf>
    <xf numFmtId="166" fontId="8" fillId="0" borderId="106" xfId="51" applyNumberFormat="1" applyFont="1" applyFill="1" applyBorder="1" applyAlignment="1"/>
    <xf numFmtId="166" fontId="0" fillId="0" borderId="106" xfId="0" applyNumberFormat="1" applyBorder="1"/>
    <xf numFmtId="166" fontId="8" fillId="47" borderId="106" xfId="51" applyNumberFormat="1" applyFont="1" applyFill="1" applyBorder="1"/>
    <xf numFmtId="4" fontId="13" fillId="6" borderId="10" xfId="2" applyNumberFormat="1" applyFont="1" applyFill="1" applyBorder="1" applyAlignment="1">
      <alignment vertical="center" wrapText="1"/>
    </xf>
    <xf numFmtId="3" fontId="9" fillId="13" borderId="13" xfId="0" applyNumberFormat="1" applyFont="1" applyFill="1" applyBorder="1" applyAlignment="1">
      <alignment vertical="center"/>
    </xf>
    <xf numFmtId="9" fontId="9" fillId="13" borderId="13" xfId="0" applyNumberFormat="1" applyFont="1" applyFill="1" applyBorder="1" applyAlignment="1">
      <alignment vertical="center"/>
    </xf>
    <xf numFmtId="3" fontId="9" fillId="13" borderId="15" xfId="0" applyNumberFormat="1" applyFont="1" applyFill="1" applyBorder="1" applyAlignment="1">
      <alignment vertical="center"/>
    </xf>
    <xf numFmtId="3" fontId="1" fillId="4" borderId="13" xfId="0" applyNumberFormat="1" applyFont="1" applyFill="1" applyBorder="1" applyAlignment="1">
      <alignment vertical="center"/>
    </xf>
    <xf numFmtId="9" fontId="1" fillId="4" borderId="13" xfId="0" applyNumberFormat="1" applyFont="1" applyFill="1" applyBorder="1" applyAlignment="1">
      <alignment vertical="center"/>
    </xf>
    <xf numFmtId="3" fontId="1" fillId="4" borderId="15" xfId="0" applyNumberFormat="1" applyFont="1" applyFill="1" applyBorder="1" applyAlignment="1">
      <alignment vertical="center"/>
    </xf>
    <xf numFmtId="3" fontId="1" fillId="4" borderId="31" xfId="0" applyNumberFormat="1" applyFont="1" applyFill="1" applyBorder="1" applyAlignment="1">
      <alignment vertical="center"/>
    </xf>
    <xf numFmtId="9" fontId="1" fillId="4" borderId="31" xfId="0" applyNumberFormat="1" applyFont="1" applyFill="1" applyBorder="1" applyAlignment="1">
      <alignment vertical="center"/>
    </xf>
    <xf numFmtId="3" fontId="1" fillId="4" borderId="32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9" fontId="8" fillId="4" borderId="1" xfId="0" applyNumberFormat="1" applyFont="1" applyFill="1" applyBorder="1" applyAlignment="1">
      <alignment vertical="center" wrapText="1"/>
    </xf>
    <xf numFmtId="0" fontId="6" fillId="2" borderId="46" xfId="58" applyFont="1" applyFill="1" applyBorder="1" applyAlignment="1">
      <alignment horizontal="center" vertical="center"/>
    </xf>
    <xf numFmtId="0" fontId="6" fillId="2" borderId="50" xfId="58" applyFont="1" applyFill="1" applyBorder="1" applyAlignment="1">
      <alignment horizontal="center" vertical="center"/>
    </xf>
    <xf numFmtId="0" fontId="6" fillId="46" borderId="3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vertical="center" wrapText="1"/>
    </xf>
    <xf numFmtId="3" fontId="54" fillId="13" borderId="13" xfId="3" applyNumberFormat="1" applyFont="1" applyFill="1" applyBorder="1" applyAlignment="1">
      <alignment horizontal="right" vertical="center"/>
    </xf>
    <xf numFmtId="3" fontId="54" fillId="13" borderId="127" xfId="3" applyNumberFormat="1" applyFont="1" applyFill="1" applyBorder="1" applyAlignment="1">
      <alignment horizontal="right" vertical="center"/>
    </xf>
    <xf numFmtId="3" fontId="55" fillId="4" borderId="4" xfId="0" applyNumberFormat="1" applyFont="1" applyFill="1" applyBorder="1" applyAlignment="1">
      <alignment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0" fontId="6" fillId="2" borderId="13" xfId="58" applyFont="1" applyFill="1" applyBorder="1" applyAlignment="1">
      <alignment horizontal="center" vertical="center"/>
    </xf>
    <xf numFmtId="0" fontId="6" fillId="2" borderId="15" xfId="58" applyFont="1" applyFill="1" applyBorder="1" applyAlignment="1">
      <alignment horizontal="center" vertical="center"/>
    </xf>
    <xf numFmtId="0" fontId="14" fillId="2" borderId="13" xfId="58" applyFont="1" applyFill="1" applyBorder="1" applyAlignment="1">
      <alignment horizontal="center" vertical="center"/>
    </xf>
    <xf numFmtId="4" fontId="4" fillId="64" borderId="10" xfId="60" applyNumberFormat="1" applyFont="1" applyFill="1" applyBorder="1" applyAlignment="1">
      <alignment horizontal="left" wrapText="1"/>
    </xf>
    <xf numFmtId="3" fontId="9" fillId="65" borderId="13" xfId="59" applyNumberFormat="1" applyFont="1" applyFill="1" applyBorder="1" applyAlignment="1">
      <alignment horizontal="right"/>
    </xf>
    <xf numFmtId="3" fontId="9" fillId="65" borderId="13" xfId="0" applyNumberFormat="1" applyFont="1" applyFill="1" applyBorder="1" applyAlignment="1">
      <alignment horizontal="right"/>
    </xf>
    <xf numFmtId="167" fontId="16" fillId="65" borderId="13" xfId="0" applyNumberFormat="1" applyFont="1" applyFill="1" applyBorder="1" applyAlignment="1">
      <alignment horizontal="right"/>
    </xf>
    <xf numFmtId="3" fontId="1" fillId="66" borderId="15" xfId="1" applyNumberFormat="1" applyFont="1" applyFill="1" applyBorder="1" applyAlignment="1">
      <alignment horizontal="right"/>
    </xf>
    <xf numFmtId="3" fontId="1" fillId="12" borderId="10" xfId="0" applyNumberFormat="1" applyFont="1" applyFill="1" applyBorder="1"/>
    <xf numFmtId="3" fontId="1" fillId="12" borderId="13" xfId="59" applyNumberFormat="1" applyFont="1" applyFill="1" applyBorder="1" applyAlignment="1">
      <alignment horizontal="right"/>
    </xf>
    <xf numFmtId="3" fontId="1" fillId="12" borderId="13" xfId="0" applyNumberFormat="1" applyFont="1" applyFill="1" applyBorder="1" applyAlignment="1">
      <alignment horizontal="right"/>
    </xf>
    <xf numFmtId="167" fontId="15" fillId="12" borderId="13" xfId="0" applyNumberFormat="1" applyFont="1" applyFill="1" applyBorder="1" applyAlignment="1">
      <alignment horizontal="right"/>
    </xf>
    <xf numFmtId="3" fontId="1" fillId="12" borderId="15" xfId="1" applyNumberFormat="1" applyFont="1" applyFill="1" applyBorder="1" applyAlignment="1">
      <alignment horizontal="right"/>
    </xf>
    <xf numFmtId="0" fontId="1" fillId="12" borderId="30" xfId="58" applyFont="1" applyFill="1" applyBorder="1" applyAlignment="1">
      <alignment vertical="center"/>
    </xf>
    <xf numFmtId="3" fontId="1" fillId="12" borderId="31" xfId="59" applyNumberFormat="1" applyFont="1" applyFill="1" applyBorder="1" applyAlignment="1">
      <alignment horizontal="right"/>
    </xf>
    <xf numFmtId="3" fontId="1" fillId="12" borderId="31" xfId="0" applyNumberFormat="1" applyFont="1" applyFill="1" applyBorder="1" applyAlignment="1">
      <alignment horizontal="right"/>
    </xf>
    <xf numFmtId="167" fontId="15" fillId="12" borderId="31" xfId="0" applyNumberFormat="1" applyFont="1" applyFill="1" applyBorder="1" applyAlignment="1">
      <alignment horizontal="right"/>
    </xf>
    <xf numFmtId="3" fontId="1" fillId="12" borderId="32" xfId="1" applyNumberFormat="1" applyFont="1" applyFill="1" applyBorder="1" applyAlignment="1">
      <alignment horizontal="right"/>
    </xf>
    <xf numFmtId="166" fontId="9" fillId="65" borderId="13" xfId="59" applyNumberFormat="1" applyFont="1" applyFill="1" applyBorder="1" applyAlignment="1">
      <alignment horizontal="right"/>
    </xf>
    <xf numFmtId="166" fontId="9" fillId="65" borderId="13" xfId="0" applyNumberFormat="1" applyFont="1" applyFill="1" applyBorder="1" applyAlignment="1">
      <alignment horizontal="right"/>
    </xf>
    <xf numFmtId="166" fontId="1" fillId="66" borderId="15" xfId="1" applyNumberFormat="1" applyFont="1" applyFill="1" applyBorder="1" applyAlignment="1">
      <alignment horizontal="right"/>
    </xf>
    <xf numFmtId="166" fontId="1" fillId="12" borderId="13" xfId="59" applyNumberFormat="1" applyFont="1" applyFill="1" applyBorder="1" applyAlignment="1">
      <alignment horizontal="right"/>
    </xf>
    <xf numFmtId="166" fontId="1" fillId="12" borderId="13" xfId="0" applyNumberFormat="1" applyFont="1" applyFill="1" applyBorder="1" applyAlignment="1">
      <alignment horizontal="right"/>
    </xf>
    <xf numFmtId="166" fontId="1" fillId="12" borderId="15" xfId="1" applyNumberFormat="1" applyFont="1" applyFill="1" applyBorder="1" applyAlignment="1">
      <alignment horizontal="right"/>
    </xf>
    <xf numFmtId="166" fontId="1" fillId="12" borderId="31" xfId="59" applyNumberFormat="1" applyFont="1" applyFill="1" applyBorder="1" applyAlignment="1">
      <alignment horizontal="right"/>
    </xf>
    <xf numFmtId="166" fontId="1" fillId="12" borderId="31" xfId="0" applyNumberFormat="1" applyFont="1" applyFill="1" applyBorder="1" applyAlignment="1">
      <alignment horizontal="right"/>
    </xf>
    <xf numFmtId="166" fontId="1" fillId="12" borderId="32" xfId="1" applyNumberFormat="1" applyFont="1" applyFill="1" applyBorder="1" applyAlignment="1">
      <alignment horizontal="right"/>
    </xf>
    <xf numFmtId="0" fontId="8" fillId="6" borderId="11" xfId="0" applyNumberFormat="1" applyFont="1" applyFill="1" applyBorder="1" applyAlignment="1">
      <alignment horizontal="left" vertical="center"/>
    </xf>
    <xf numFmtId="0" fontId="6" fillId="2" borderId="46" xfId="51" applyFont="1" applyFill="1" applyBorder="1" applyAlignment="1">
      <alignment horizontal="center"/>
    </xf>
    <xf numFmtId="0" fontId="6" fillId="2" borderId="0" xfId="51" applyFont="1" applyFill="1" applyBorder="1" applyAlignment="1">
      <alignment horizontal="center"/>
    </xf>
    <xf numFmtId="0" fontId="6" fillId="2" borderId="123" xfId="58" applyFont="1" applyFill="1" applyBorder="1" applyAlignment="1">
      <alignment horizontal="center" vertical="center" wrapText="1"/>
    </xf>
    <xf numFmtId="0" fontId="6" fillId="2" borderId="124" xfId="58" applyFont="1" applyFill="1" applyBorder="1" applyAlignment="1">
      <alignment horizontal="center" vertical="center" wrapText="1"/>
    </xf>
    <xf numFmtId="0" fontId="6" fillId="2" borderId="108" xfId="58" applyFont="1" applyFill="1" applyBorder="1" applyAlignment="1">
      <alignment horizontal="center" vertical="center" wrapText="1"/>
    </xf>
    <xf numFmtId="0" fontId="6" fillId="2" borderId="0" xfId="58" applyFont="1" applyFill="1" applyBorder="1" applyAlignment="1">
      <alignment horizontal="center" vertical="center" wrapText="1"/>
    </xf>
    <xf numFmtId="0" fontId="6" fillId="2" borderId="110" xfId="58" applyFont="1" applyFill="1" applyBorder="1" applyAlignment="1">
      <alignment horizontal="center" vertical="center" wrapText="1"/>
    </xf>
    <xf numFmtId="0" fontId="6" fillId="2" borderId="103" xfId="58" applyFont="1" applyFill="1" applyBorder="1" applyAlignment="1">
      <alignment horizontal="center" vertical="center" wrapText="1"/>
    </xf>
    <xf numFmtId="0" fontId="6" fillId="2" borderId="46" xfId="58" applyFont="1" applyFill="1" applyBorder="1" applyAlignment="1">
      <alignment horizontal="center" vertical="center"/>
    </xf>
    <xf numFmtId="0" fontId="6" fillId="2" borderId="50" xfId="58" applyFont="1" applyFill="1" applyBorder="1" applyAlignment="1">
      <alignment horizontal="center" vertical="center"/>
    </xf>
    <xf numFmtId="0" fontId="6" fillId="2" borderId="0" xfId="58" applyFont="1" applyFill="1" applyBorder="1" applyAlignment="1">
      <alignment horizontal="center" vertical="center"/>
    </xf>
    <xf numFmtId="0" fontId="6" fillId="2" borderId="109" xfId="58" applyFont="1" applyFill="1" applyBorder="1" applyAlignment="1">
      <alignment horizontal="center" vertical="center" wrapText="1"/>
    </xf>
    <xf numFmtId="0" fontId="6" fillId="2" borderId="102" xfId="58" applyFont="1" applyFill="1" applyBorder="1" applyAlignment="1">
      <alignment horizontal="center" vertical="center" wrapText="1"/>
    </xf>
    <xf numFmtId="0" fontId="6" fillId="2" borderId="49" xfId="58" applyFont="1" applyFill="1" applyBorder="1" applyAlignment="1">
      <alignment horizontal="center" vertical="center"/>
    </xf>
    <xf numFmtId="0" fontId="6" fillId="2" borderId="53" xfId="51" applyFont="1" applyFill="1" applyBorder="1" applyAlignment="1">
      <alignment horizontal="center"/>
    </xf>
    <xf numFmtId="0" fontId="8" fillId="0" borderId="47" xfId="51" applyFont="1" applyBorder="1" applyAlignment="1">
      <alignment horizontal="center"/>
    </xf>
    <xf numFmtId="0" fontId="8" fillId="0" borderId="48" xfId="51" applyFont="1" applyBorder="1" applyAlignment="1">
      <alignment horizontal="center"/>
    </xf>
    <xf numFmtId="0" fontId="8" fillId="0" borderId="47" xfId="51" applyFont="1" applyBorder="1" applyAlignment="1"/>
    <xf numFmtId="0" fontId="8" fillId="0" borderId="48" xfId="51" applyFont="1" applyBorder="1" applyAlignment="1"/>
    <xf numFmtId="0" fontId="6" fillId="2" borderId="47" xfId="51" applyFont="1" applyFill="1" applyBorder="1" applyAlignment="1">
      <alignment horizontal="center"/>
    </xf>
    <xf numFmtId="0" fontId="6" fillId="2" borderId="48" xfId="51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3" fontId="6" fillId="2" borderId="114" xfId="61" applyNumberFormat="1" applyFont="1" applyFill="1" applyBorder="1" applyAlignment="1">
      <alignment horizontal="center" vertical="center"/>
    </xf>
    <xf numFmtId="3" fontId="6" fillId="2" borderId="115" xfId="61" applyNumberFormat="1" applyFont="1" applyFill="1" applyBorder="1" applyAlignment="1">
      <alignment horizontal="center" vertical="center"/>
    </xf>
    <xf numFmtId="3" fontId="6" fillId="2" borderId="116" xfId="61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46" xfId="51" applyFont="1" applyFill="1" applyBorder="1" applyAlignment="1">
      <alignment horizontal="center" vertical="center" wrapText="1"/>
    </xf>
    <xf numFmtId="0" fontId="6" fillId="2" borderId="0" xfId="51" applyFont="1" applyFill="1" applyBorder="1" applyAlignment="1">
      <alignment horizontal="center" vertical="center" wrapText="1"/>
    </xf>
    <xf numFmtId="0" fontId="6" fillId="2" borderId="46" xfId="57" applyFont="1" applyFill="1" applyBorder="1" applyAlignment="1">
      <alignment horizontal="center" vertical="center" wrapText="1"/>
    </xf>
    <xf numFmtId="0" fontId="6" fillId="2" borderId="0" xfId="57" applyFont="1" applyFill="1" applyBorder="1" applyAlignment="1">
      <alignment horizontal="center" vertical="center" wrapText="1"/>
    </xf>
    <xf numFmtId="0" fontId="6" fillId="2" borderId="84" xfId="53" applyFont="1" applyFill="1" applyBorder="1" applyAlignment="1">
      <alignment horizontal="center"/>
    </xf>
    <xf numFmtId="0" fontId="1" fillId="0" borderId="85" xfId="53" applyBorder="1" applyAlignment="1">
      <alignment horizontal="center"/>
    </xf>
    <xf numFmtId="0" fontId="1" fillId="0" borderId="86" xfId="53" applyBorder="1" applyAlignment="1">
      <alignment horizontal="center"/>
    </xf>
    <xf numFmtId="0" fontId="6" fillId="2" borderId="84" xfId="42" applyFont="1" applyFill="1" applyBorder="1" applyAlignment="1">
      <alignment horizontal="center"/>
    </xf>
    <xf numFmtId="0" fontId="6" fillId="2" borderId="49" xfId="51" applyFont="1" applyFill="1" applyBorder="1" applyAlignment="1">
      <alignment horizontal="center"/>
    </xf>
    <xf numFmtId="0" fontId="49" fillId="52" borderId="0" xfId="0" applyFont="1" applyFill="1" applyAlignment="1">
      <alignment horizontal="center"/>
    </xf>
    <xf numFmtId="3" fontId="6" fillId="2" borderId="14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9" xfId="3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3" fontId="6" fillId="2" borderId="12" xfId="3" applyNumberFormat="1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5" xfId="0" applyNumberFormat="1" applyFont="1" applyFill="1" applyBorder="1" applyAlignment="1">
      <alignment horizontal="center" vertical="center" wrapText="1"/>
    </xf>
    <xf numFmtId="3" fontId="6" fillId="2" borderId="16" xfId="3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" fontId="6" fillId="2" borderId="6" xfId="3" applyNumberFormat="1" applyFont="1" applyFill="1" applyBorder="1" applyAlignment="1">
      <alignment horizontal="center"/>
    </xf>
    <xf numFmtId="3" fontId="6" fillId="2" borderId="16" xfId="3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6" fillId="2" borderId="6" xfId="3" applyNumberFormat="1" applyFont="1" applyFill="1" applyBorder="1" applyAlignment="1">
      <alignment horizontal="center" vertical="center"/>
    </xf>
    <xf numFmtId="3" fontId="6" fillId="2" borderId="16" xfId="59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3" fontId="6" fillId="2" borderId="7" xfId="59" applyNumberFormat="1" applyFont="1" applyFill="1" applyBorder="1" applyAlignment="1">
      <alignment horizontal="center" vertical="center"/>
    </xf>
    <xf numFmtId="3" fontId="6" fillId="2" borderId="5" xfId="59" applyNumberFormat="1" applyFont="1" applyFill="1" applyBorder="1" applyAlignment="1">
      <alignment horizontal="center" vertical="center"/>
    </xf>
    <xf numFmtId="4" fontId="6" fillId="2" borderId="13" xfId="2" applyNumberFormat="1" applyFont="1" applyFill="1" applyBorder="1" applyAlignment="1">
      <alignment horizontal="center" vertical="center" wrapText="1"/>
    </xf>
    <xf numFmtId="4" fontId="6" fillId="2" borderId="15" xfId="2" applyNumberFormat="1" applyFont="1" applyFill="1" applyBorder="1" applyAlignment="1">
      <alignment horizontal="center" vertical="center" wrapText="1"/>
    </xf>
    <xf numFmtId="3" fontId="6" fillId="46" borderId="9" xfId="3" applyNumberFormat="1" applyFont="1" applyFill="1" applyBorder="1" applyAlignment="1">
      <alignment horizontal="center" vertical="center" wrapText="1"/>
    </xf>
    <xf numFmtId="0" fontId="8" fillId="46" borderId="10" xfId="0" applyFont="1" applyFill="1" applyBorder="1" applyAlignment="1">
      <alignment horizontal="center" vertical="center" wrapText="1"/>
    </xf>
    <xf numFmtId="3" fontId="6" fillId="46" borderId="12" xfId="3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3" fontId="6" fillId="2" borderId="9" xfId="3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6" fillId="46" borderId="9" xfId="3" applyNumberFormat="1" applyFont="1" applyFill="1" applyBorder="1" applyAlignment="1">
      <alignment horizontal="center" vertical="center"/>
    </xf>
    <xf numFmtId="0" fontId="8" fillId="46" borderId="10" xfId="0" applyFont="1" applyFill="1" applyBorder="1" applyAlignment="1">
      <alignment horizontal="center" vertical="center"/>
    </xf>
    <xf numFmtId="0" fontId="6" fillId="46" borderId="54" xfId="0" applyFont="1" applyFill="1" applyBorder="1" applyAlignment="1">
      <alignment horizontal="center" vertical="center" wrapText="1"/>
    </xf>
    <xf numFmtId="0" fontId="6" fillId="46" borderId="55" xfId="0" applyFont="1" applyFill="1" applyBorder="1" applyAlignment="1">
      <alignment horizontal="center" vertical="center" wrapText="1"/>
    </xf>
    <xf numFmtId="3" fontId="6" fillId="46" borderId="10" xfId="3" applyNumberFormat="1" applyFont="1" applyFill="1" applyBorder="1" applyAlignment="1">
      <alignment horizontal="center" vertical="center"/>
    </xf>
    <xf numFmtId="3" fontId="6" fillId="46" borderId="14" xfId="3" applyNumberFormat="1" applyFont="1" applyFill="1" applyBorder="1" applyAlignment="1">
      <alignment horizontal="center" vertical="center"/>
    </xf>
    <xf numFmtId="4" fontId="6" fillId="2" borderId="9" xfId="2" applyNumberFormat="1" applyFont="1" applyFill="1" applyBorder="1" applyAlignment="1">
      <alignment horizontal="center" vertical="center" wrapText="1"/>
    </xf>
    <xf numFmtId="4" fontId="6" fillId="2" borderId="10" xfId="2" applyNumberFormat="1" applyFont="1" applyFill="1" applyBorder="1" applyAlignment="1">
      <alignment horizontal="center" vertical="center" wrapText="1"/>
    </xf>
    <xf numFmtId="3" fontId="6" fillId="2" borderId="9" xfId="4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42" fillId="46" borderId="25" xfId="0" applyFont="1" applyFill="1" applyBorder="1" applyAlignment="1">
      <alignment horizontal="center" vertical="center"/>
    </xf>
    <xf numFmtId="0" fontId="42" fillId="46" borderId="27" xfId="0" applyFont="1" applyFill="1" applyBorder="1" applyAlignment="1">
      <alignment horizontal="center" vertical="center"/>
    </xf>
    <xf numFmtId="0" fontId="41" fillId="45" borderId="0" xfId="0" applyFont="1" applyFill="1" applyBorder="1" applyAlignment="1">
      <alignment horizontal="center" vertical="center" wrapText="1"/>
    </xf>
    <xf numFmtId="0" fontId="41" fillId="45" borderId="27" xfId="0" applyFont="1" applyFill="1" applyBorder="1" applyAlignment="1">
      <alignment horizontal="center" vertical="center" wrapText="1"/>
    </xf>
    <xf numFmtId="0" fontId="41" fillId="45" borderId="128" xfId="0" applyFont="1" applyFill="1" applyBorder="1" applyAlignment="1">
      <alignment horizontal="center" vertical="center" wrapText="1"/>
    </xf>
    <xf numFmtId="0" fontId="41" fillId="45" borderId="26" xfId="0" applyFont="1" applyFill="1" applyBorder="1" applyAlignment="1">
      <alignment horizontal="center" vertical="center" wrapText="1"/>
    </xf>
    <xf numFmtId="0" fontId="42" fillId="46" borderId="21" xfId="0" applyFont="1" applyFill="1" applyBorder="1" applyAlignment="1">
      <alignment horizontal="center" vertical="center"/>
    </xf>
    <xf numFmtId="0" fontId="42" fillId="46" borderId="22" xfId="0" applyFont="1" applyFill="1" applyBorder="1" applyAlignment="1">
      <alignment horizontal="center" vertical="center"/>
    </xf>
    <xf numFmtId="0" fontId="42" fillId="46" borderId="26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15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4" fontId="6" fillId="8" borderId="9" xfId="2" applyNumberFormat="1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3" fontId="6" fillId="2" borderId="9" xfId="61" applyNumberFormat="1" applyFont="1" applyFill="1" applyBorder="1" applyAlignment="1">
      <alignment horizontal="center" vertical="center"/>
    </xf>
    <xf numFmtId="3" fontId="6" fillId="2" borderId="10" xfId="61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3" fontId="6" fillId="2" borderId="10" xfId="4" applyNumberFormat="1" applyFont="1" applyFill="1" applyBorder="1" applyAlignment="1">
      <alignment horizontal="center" vertical="center"/>
    </xf>
    <xf numFmtId="0" fontId="20" fillId="46" borderId="25" xfId="0" applyFont="1" applyFill="1" applyBorder="1" applyAlignment="1">
      <alignment horizontal="center" vertical="center"/>
    </xf>
    <xf numFmtId="0" fontId="20" fillId="46" borderId="27" xfId="0" applyFont="1" applyFill="1" applyBorder="1" applyAlignment="1">
      <alignment horizontal="center" vertical="center"/>
    </xf>
    <xf numFmtId="0" fontId="19" fillId="45" borderId="0" xfId="0" applyFont="1" applyFill="1" applyBorder="1" applyAlignment="1">
      <alignment horizontal="center" vertical="center" wrapText="1"/>
    </xf>
    <xf numFmtId="0" fontId="19" fillId="45" borderId="27" xfId="0" applyFont="1" applyFill="1" applyBorder="1" applyAlignment="1">
      <alignment horizontal="center" vertical="center" wrapText="1"/>
    </xf>
    <xf numFmtId="0" fontId="19" fillId="45" borderId="128" xfId="0" applyFont="1" applyFill="1" applyBorder="1" applyAlignment="1">
      <alignment horizontal="center" vertical="center" wrapText="1"/>
    </xf>
    <xf numFmtId="0" fontId="19" fillId="45" borderId="26" xfId="0" applyFont="1" applyFill="1" applyBorder="1" applyAlignment="1">
      <alignment horizontal="center" vertical="center" wrapText="1"/>
    </xf>
    <xf numFmtId="0" fontId="20" fillId="46" borderId="21" xfId="0" applyFont="1" applyFill="1" applyBorder="1" applyAlignment="1">
      <alignment horizontal="center" vertical="center"/>
    </xf>
    <xf numFmtId="0" fontId="20" fillId="46" borderId="22" xfId="0" applyFont="1" applyFill="1" applyBorder="1" applyAlignment="1">
      <alignment horizontal="center" vertical="center"/>
    </xf>
    <xf numFmtId="0" fontId="20" fillId="46" borderId="2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" fontId="6" fillId="2" borderId="96" xfId="2" applyNumberFormat="1" applyFont="1" applyFill="1" applyBorder="1" applyAlignment="1">
      <alignment horizontal="center" vertical="center" wrapText="1"/>
    </xf>
    <xf numFmtId="4" fontId="6" fillId="2" borderId="5" xfId="2" applyNumberFormat="1" applyFont="1" applyFill="1" applyBorder="1" applyAlignment="1">
      <alignment horizontal="center" vertical="center" wrapText="1"/>
    </xf>
    <xf numFmtId="4" fontId="6" fillId="2" borderId="3" xfId="2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3" fontId="6" fillId="2" borderId="16" xfId="4" applyNumberFormat="1" applyFont="1" applyFill="1" applyBorder="1" applyAlignment="1">
      <alignment horizontal="center" vertical="center"/>
    </xf>
    <xf numFmtId="3" fontId="6" fillId="2" borderId="120" xfId="4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1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3" fontId="6" fillId="2" borderId="5" xfId="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3" fontId="6" fillId="2" borderId="5" xfId="4" applyNumberFormat="1" applyFont="1" applyFill="1" applyBorder="1" applyAlignment="1">
      <alignment horizontal="center" vertical="center"/>
    </xf>
    <xf numFmtId="3" fontId="6" fillId="2" borderId="3" xfId="4" applyNumberFormat="1" applyFont="1" applyFill="1" applyBorder="1" applyAlignment="1">
      <alignment horizontal="center" vertical="center"/>
    </xf>
    <xf numFmtId="3" fontId="20" fillId="7" borderId="27" xfId="3" applyNumberFormat="1" applyFont="1" applyFill="1" applyBorder="1" applyAlignment="1">
      <alignment horizontal="center" vertical="center"/>
    </xf>
    <xf numFmtId="0" fontId="8" fillId="0" borderId="26" xfId="5" applyFont="1" applyFill="1" applyBorder="1" applyAlignment="1">
      <alignment horizontal="center" vertical="center"/>
    </xf>
    <xf numFmtId="3" fontId="20" fillId="7" borderId="21" xfId="3" applyNumberFormat="1" applyFont="1" applyFill="1" applyBorder="1" applyAlignment="1">
      <alignment horizontal="center" vertical="center"/>
    </xf>
    <xf numFmtId="3" fontId="20" fillId="7" borderId="27" xfId="3" applyNumberFormat="1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16" xfId="5" applyFont="1" applyBorder="1" applyAlignment="1">
      <alignment horizontal="center" vertical="center"/>
    </xf>
    <xf numFmtId="0" fontId="0" fillId="2" borderId="3" xfId="0" applyFill="1" applyBorder="1" applyAlignment="1"/>
    <xf numFmtId="3" fontId="6" fillId="2" borderId="4" xfId="59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3" fontId="6" fillId="2" borderId="7" xfId="3" applyNumberFormat="1" applyFont="1" applyFill="1" applyBorder="1" applyAlignment="1">
      <alignment horizontal="center" vertical="center"/>
    </xf>
    <xf numFmtId="3" fontId="6" fillId="2" borderId="5" xfId="3" applyNumberFormat="1" applyFont="1" applyFill="1" applyBorder="1" applyAlignment="1">
      <alignment horizontal="center" vertical="center"/>
    </xf>
    <xf numFmtId="0" fontId="6" fillId="2" borderId="9" xfId="58" applyFont="1" applyFill="1" applyBorder="1" applyAlignment="1">
      <alignment horizontal="center" vertical="center"/>
    </xf>
    <xf numFmtId="0" fontId="6" fillId="2" borderId="10" xfId="58" applyFont="1" applyFill="1" applyBorder="1" applyAlignment="1">
      <alignment horizontal="center" vertical="center"/>
    </xf>
    <xf numFmtId="0" fontId="6" fillId="2" borderId="12" xfId="58" applyFont="1" applyFill="1" applyBorder="1" applyAlignment="1">
      <alignment horizontal="center" vertical="center"/>
    </xf>
    <xf numFmtId="0" fontId="6" fillId="2" borderId="14" xfId="58" applyFont="1" applyFill="1" applyBorder="1" applyAlignment="1">
      <alignment horizontal="center" vertical="center"/>
    </xf>
    <xf numFmtId="3" fontId="6" fillId="2" borderId="4" xfId="3" applyNumberFormat="1" applyFont="1" applyFill="1" applyBorder="1" applyAlignment="1">
      <alignment horizontal="center" vertical="center"/>
    </xf>
    <xf numFmtId="0" fontId="43" fillId="52" borderId="0" xfId="0" applyFont="1" applyFill="1" applyAlignment="1">
      <alignment horizontal="left"/>
    </xf>
    <xf numFmtId="0" fontId="49" fillId="52" borderId="0" xfId="0" applyFont="1" applyFill="1" applyAlignment="1">
      <alignment horizontal="left"/>
    </xf>
  </cellXfs>
  <cellStyles count="63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Explanatory Text 2" xfId="33"/>
    <cellStyle name="Good 2" xfId="34"/>
    <cellStyle name="Heading 1 2" xfId="35"/>
    <cellStyle name="Heading 2 2" xfId="36"/>
    <cellStyle name="Heading 3 2" xfId="37"/>
    <cellStyle name="Heading 4 2" xfId="38"/>
    <cellStyle name="Hyperlink" xfId="55" builtinId="8"/>
    <cellStyle name="Input 2" xfId="39"/>
    <cellStyle name="Linked Cell 2" xfId="40"/>
    <cellStyle name="Neutral 2" xfId="41"/>
    <cellStyle name="Normal" xfId="0" builtinId="0"/>
    <cellStyle name="Normal 2" xfId="42"/>
    <cellStyle name="Normal 2 2" xfId="62"/>
    <cellStyle name="Normal 3" xfId="43"/>
    <cellStyle name="Normal 3 2" xfId="54"/>
    <cellStyle name="Normal 4" xfId="51"/>
    <cellStyle name="Normal 4 2" xfId="58"/>
    <cellStyle name="Normal 4 3" xfId="57"/>
    <cellStyle name="Normal 5" xfId="53"/>
    <cellStyle name="Normal_Jtest_tables_draft1" xfId="5"/>
    <cellStyle name="Normal_Jtest_tables_draft1 2" xfId="56"/>
    <cellStyle name="Normal_PF2005" xfId="2"/>
    <cellStyle name="Normal_PF2005 2" xfId="60"/>
    <cellStyle name="Normal_SCOTFCST" xfId="3"/>
    <cellStyle name="Normal_SCOTFCST 2" xfId="59"/>
    <cellStyle name="Normal_SCOTFCST_NFI-UK-25-Year-Forecast-Softwood-Availability-Synthesis" xfId="52"/>
    <cellStyle name="Normal_SCOTFCST_volume_tpf_species_datav2. 22.5.12.jo" xfId="4"/>
    <cellStyle name="Normal_SCOTFCST_volume_tpf_species_datav2. 22.5.12.jo 2" xfId="61"/>
    <cellStyle name="Note 2" xfId="44"/>
    <cellStyle name="Output 2" xfId="45"/>
    <cellStyle name="Percent" xfId="1" builtinId="5"/>
    <cellStyle name="Percent 2" xfId="46"/>
    <cellStyle name="Percent 3" xfId="47"/>
    <cellStyle name="Title 2" xfId="48"/>
    <cellStyle name="Total 2" xfId="49"/>
    <cellStyle name="Warning Text 2" xfId="50"/>
  </cellStyles>
  <dxfs count="530"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theme="0" tint="-0.499984740745262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  <numFmt numFmtId="2" formatCode="0.00"/>
    </dxf>
    <dxf>
      <numFmt numFmtId="173" formatCode="&quot;&lt; 1&quot;"/>
    </dxf>
    <dxf>
      <font>
        <color rgb="FF808080"/>
      </font>
    </dxf>
    <dxf>
      <font>
        <color rgb="FF808080"/>
      </font>
      <numFmt numFmtId="2" formatCode="0.00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  <numFmt numFmtId="2" formatCode="0.00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B2549"/>
      <rgbColor rgb="00DBFF01"/>
      <rgbColor rgb="00FF00FF"/>
      <rgbColor rgb="0000FFFF"/>
      <rgbColor rgb="0080B79E"/>
      <rgbColor rgb="00008000"/>
      <rgbColor rgb="00B6D99F"/>
      <rgbColor rgb="00808000"/>
      <rgbColor rgb="00800080"/>
      <rgbColor rgb="00008080"/>
      <rgbColor rgb="00C0C0C0"/>
      <rgbColor rgb="00808080"/>
      <rgbColor rgb="0076AD1C"/>
      <rgbColor rgb="0095BB56"/>
      <rgbColor rgb="00D3FFBE"/>
      <rgbColor rgb="00CCFFFF"/>
      <rgbColor rgb="00660066"/>
      <rgbColor rgb="00FF8080"/>
      <rgbColor rgb="000066CC"/>
      <rgbColor rgb="00CCCCFF"/>
      <rgbColor rgb="00808080"/>
      <rgbColor rgb="00999999"/>
      <rgbColor rgb="00CCCCCC"/>
      <rgbColor rgb="00E6E6E6"/>
      <rgbColor rgb="00800080"/>
      <rgbColor rgb="00800000"/>
      <rgbColor rgb="00008080"/>
      <rgbColor rgb="000000FF"/>
      <rgbColor rgb="000084A8"/>
      <rgbColor rgb="00FFCC66"/>
      <rgbColor rgb="00CCFF99"/>
      <rgbColor rgb="00FFCC66"/>
      <rgbColor rgb="009EAAD7"/>
      <rgbColor rgb="00FF99CC"/>
      <rgbColor rgb="00CC99FF"/>
      <rgbColor rgb="00B51B1B"/>
      <rgbColor rgb="003366FF"/>
      <rgbColor rgb="0033CCCC"/>
      <rgbColor rgb="002EE129"/>
      <rgbColor rgb="00CC6600"/>
      <rgbColor rgb="00FF9900"/>
      <rgbColor rgb="00A87000"/>
      <rgbColor rgb="00666699"/>
      <rgbColor rgb="00969696"/>
      <rgbColor rgb="00DA1425"/>
      <rgbColor rgb="0000734C"/>
      <rgbColor rgb="00163A6F"/>
      <rgbColor rgb="00318C36"/>
      <rgbColor rgb="0005401A"/>
      <rgbColor rgb="00993366"/>
      <rgbColor rgb="008DA6C1"/>
      <rgbColor rgb="00F19698"/>
    </indexedColors>
    <mruColors>
      <color rgb="FF3B9946"/>
      <color rgb="FF43996C"/>
      <color rgb="FFD7D97E"/>
      <color rgb="FF7FB59F"/>
      <color rgb="FF739C9B"/>
      <color rgb="FF9EB074"/>
      <color rgb="FF60AB61"/>
      <color rgb="FF91E3BB"/>
      <color rgb="FF85B569"/>
      <color rgb="FF8BC4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hartsheet" Target="chartsheets/sheet57.xml"/><Relationship Id="rId299" Type="http://schemas.openxmlformats.org/officeDocument/2006/relationships/worksheet" Target="worksheets/sheet123.xml"/><Relationship Id="rId21" Type="http://schemas.openxmlformats.org/officeDocument/2006/relationships/worksheet" Target="worksheets/sheet21.xml"/><Relationship Id="rId63" Type="http://schemas.openxmlformats.org/officeDocument/2006/relationships/chartsheet" Target="chartsheets/sheet20.xml"/><Relationship Id="rId159" Type="http://schemas.openxmlformats.org/officeDocument/2006/relationships/chartsheet" Target="chartsheets/sheet83.xml"/><Relationship Id="rId324" Type="http://schemas.openxmlformats.org/officeDocument/2006/relationships/chartsheet" Target="chartsheets/sheet193.xml"/><Relationship Id="rId366" Type="http://schemas.openxmlformats.org/officeDocument/2006/relationships/worksheet" Target="worksheets/sheet146.xml"/><Relationship Id="rId170" Type="http://schemas.openxmlformats.org/officeDocument/2006/relationships/chartsheet" Target="chartsheets/sheet90.xml"/><Relationship Id="rId226" Type="http://schemas.openxmlformats.org/officeDocument/2006/relationships/chartsheet" Target="chartsheets/sheet127.xml"/><Relationship Id="rId268" Type="http://schemas.openxmlformats.org/officeDocument/2006/relationships/chartsheet" Target="chartsheets/sheet155.xml"/><Relationship Id="rId32" Type="http://schemas.openxmlformats.org/officeDocument/2006/relationships/worksheet" Target="worksheets/sheet32.xml"/><Relationship Id="rId74" Type="http://schemas.openxmlformats.org/officeDocument/2006/relationships/chartsheet" Target="chartsheets/sheet27.xml"/><Relationship Id="rId128" Type="http://schemas.openxmlformats.org/officeDocument/2006/relationships/chartsheet" Target="chartsheets/sheet64.xml"/><Relationship Id="rId335" Type="http://schemas.openxmlformats.org/officeDocument/2006/relationships/chartsheet" Target="chartsheets/sheet200.xml"/><Relationship Id="rId377" Type="http://schemas.openxmlformats.org/officeDocument/2006/relationships/chartsheet" Target="chartsheets/sheet228.xml"/><Relationship Id="rId5" Type="http://schemas.openxmlformats.org/officeDocument/2006/relationships/worksheet" Target="worksheets/sheet5.xml"/><Relationship Id="rId181" Type="http://schemas.openxmlformats.org/officeDocument/2006/relationships/chartsheet" Target="chartsheets/sheet101.xml"/><Relationship Id="rId237" Type="http://schemas.openxmlformats.org/officeDocument/2006/relationships/chartsheet" Target="chartsheets/sheet134.xml"/><Relationship Id="rId402" Type="http://schemas.openxmlformats.org/officeDocument/2006/relationships/chartsheet" Target="chartsheets/sheet241.xml"/><Relationship Id="rId279" Type="http://schemas.openxmlformats.org/officeDocument/2006/relationships/worksheet" Target="worksheets/sheet117.xml"/><Relationship Id="rId43" Type="http://schemas.openxmlformats.org/officeDocument/2006/relationships/chartsheet" Target="chartsheets/sheet5.xml"/><Relationship Id="rId139" Type="http://schemas.openxmlformats.org/officeDocument/2006/relationships/worksheet" Target="worksheets/sheet69.xml"/><Relationship Id="rId290" Type="http://schemas.openxmlformats.org/officeDocument/2006/relationships/chartsheet" Target="chartsheets/sheet170.xml"/><Relationship Id="rId304" Type="http://schemas.openxmlformats.org/officeDocument/2006/relationships/chartsheet" Target="chartsheets/sheet179.xml"/><Relationship Id="rId346" Type="http://schemas.openxmlformats.org/officeDocument/2006/relationships/chartsheet" Target="chartsheets/sheet207.xml"/><Relationship Id="rId388" Type="http://schemas.openxmlformats.org/officeDocument/2006/relationships/chartsheet" Target="chartsheets/sheet236.xml"/><Relationship Id="rId85" Type="http://schemas.openxmlformats.org/officeDocument/2006/relationships/chartsheet" Target="chartsheets/sheet35.xml"/><Relationship Id="rId150" Type="http://schemas.openxmlformats.org/officeDocument/2006/relationships/chartsheet" Target="chartsheets/sheet78.xml"/><Relationship Id="rId171" Type="http://schemas.openxmlformats.org/officeDocument/2006/relationships/chartsheet" Target="chartsheets/sheet91.xml"/><Relationship Id="rId192" Type="http://schemas.openxmlformats.org/officeDocument/2006/relationships/chartsheet" Target="chartsheets/sheet108.xml"/><Relationship Id="rId206" Type="http://schemas.openxmlformats.org/officeDocument/2006/relationships/worksheet" Target="worksheets/sheet92.xml"/><Relationship Id="rId227" Type="http://schemas.openxmlformats.org/officeDocument/2006/relationships/chartsheet" Target="chartsheets/sheet128.xml"/><Relationship Id="rId413" Type="http://schemas.openxmlformats.org/officeDocument/2006/relationships/worksheet" Target="worksheets/sheet165.xml"/><Relationship Id="rId248" Type="http://schemas.openxmlformats.org/officeDocument/2006/relationships/worksheet" Target="worksheets/sheet106.xml"/><Relationship Id="rId269" Type="http://schemas.openxmlformats.org/officeDocument/2006/relationships/chartsheet" Target="chartsheets/sheet15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chartsheet" Target="chartsheets/sheet51.xml"/><Relationship Id="rId129" Type="http://schemas.openxmlformats.org/officeDocument/2006/relationships/worksheet" Target="worksheets/sheet65.xml"/><Relationship Id="rId280" Type="http://schemas.openxmlformats.org/officeDocument/2006/relationships/chartsheet" Target="chartsheets/sheet163.xml"/><Relationship Id="rId315" Type="http://schemas.openxmlformats.org/officeDocument/2006/relationships/worksheet" Target="worksheets/sheet129.xml"/><Relationship Id="rId336" Type="http://schemas.openxmlformats.org/officeDocument/2006/relationships/worksheet" Target="worksheets/sheet136.xml"/><Relationship Id="rId357" Type="http://schemas.openxmlformats.org/officeDocument/2006/relationships/chartsheet" Target="chartsheets/sheet215.xml"/><Relationship Id="rId54" Type="http://schemas.openxmlformats.org/officeDocument/2006/relationships/worksheet" Target="worksheets/sheet40.xml"/><Relationship Id="rId75" Type="http://schemas.openxmlformats.org/officeDocument/2006/relationships/chartsheet" Target="chartsheets/sheet28.xml"/><Relationship Id="rId96" Type="http://schemas.openxmlformats.org/officeDocument/2006/relationships/worksheet" Target="worksheets/sheet54.xml"/><Relationship Id="rId140" Type="http://schemas.openxmlformats.org/officeDocument/2006/relationships/chartsheet" Target="chartsheets/sheet71.xml"/><Relationship Id="rId161" Type="http://schemas.openxmlformats.org/officeDocument/2006/relationships/worksheet" Target="worksheets/sheet77.xml"/><Relationship Id="rId182" Type="http://schemas.openxmlformats.org/officeDocument/2006/relationships/chartsheet" Target="chartsheets/sheet102.xml"/><Relationship Id="rId217" Type="http://schemas.openxmlformats.org/officeDocument/2006/relationships/chartsheet" Target="chartsheets/sheet120.xml"/><Relationship Id="rId378" Type="http://schemas.openxmlformats.org/officeDocument/2006/relationships/worksheet" Target="worksheets/sheet150.xml"/><Relationship Id="rId399" Type="http://schemas.openxmlformats.org/officeDocument/2006/relationships/chartsheet" Target="chartsheets/sheet239.xml"/><Relationship Id="rId403" Type="http://schemas.openxmlformats.org/officeDocument/2006/relationships/chartsheet" Target="chartsheets/sheet24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104.xml"/><Relationship Id="rId259" Type="http://schemas.openxmlformats.org/officeDocument/2006/relationships/worksheet" Target="worksheets/sheet111.xml"/><Relationship Id="rId424" Type="http://schemas.openxmlformats.org/officeDocument/2006/relationships/worksheet" Target="worksheets/sheet17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61.xml"/><Relationship Id="rId270" Type="http://schemas.openxmlformats.org/officeDocument/2006/relationships/chartsheet" Target="chartsheets/sheet157.xml"/><Relationship Id="rId291" Type="http://schemas.openxmlformats.org/officeDocument/2006/relationships/worksheet" Target="worksheets/sheet121.xml"/><Relationship Id="rId305" Type="http://schemas.openxmlformats.org/officeDocument/2006/relationships/chartsheet" Target="chartsheets/sheet180.xml"/><Relationship Id="rId326" Type="http://schemas.openxmlformats.org/officeDocument/2006/relationships/worksheet" Target="worksheets/sheet132.xml"/><Relationship Id="rId347" Type="http://schemas.openxmlformats.org/officeDocument/2006/relationships/chartsheet" Target="chartsheets/sheet208.xml"/><Relationship Id="rId44" Type="http://schemas.openxmlformats.org/officeDocument/2006/relationships/chartsheet" Target="chartsheets/sheet6.xml"/><Relationship Id="rId65" Type="http://schemas.openxmlformats.org/officeDocument/2006/relationships/chartsheet" Target="chartsheets/sheet21.xml"/><Relationship Id="rId86" Type="http://schemas.openxmlformats.org/officeDocument/2006/relationships/chartsheet" Target="chartsheets/sheet36.xml"/><Relationship Id="rId130" Type="http://schemas.openxmlformats.org/officeDocument/2006/relationships/chartsheet" Target="chartsheets/sheet65.xml"/><Relationship Id="rId151" Type="http://schemas.openxmlformats.org/officeDocument/2006/relationships/worksheet" Target="worksheets/sheet73.xml"/><Relationship Id="rId368" Type="http://schemas.openxmlformats.org/officeDocument/2006/relationships/chartsheet" Target="chartsheets/sheet222.xml"/><Relationship Id="rId389" Type="http://schemas.openxmlformats.org/officeDocument/2006/relationships/worksheet" Target="worksheets/sheet153.xml"/><Relationship Id="rId172" Type="http://schemas.openxmlformats.org/officeDocument/2006/relationships/chartsheet" Target="chartsheets/sheet92.xml"/><Relationship Id="rId193" Type="http://schemas.openxmlformats.org/officeDocument/2006/relationships/chartsheet" Target="chartsheets/sheet109.xml"/><Relationship Id="rId207" Type="http://schemas.openxmlformats.org/officeDocument/2006/relationships/worksheet" Target="worksheets/sheet93.xml"/><Relationship Id="rId228" Type="http://schemas.openxmlformats.org/officeDocument/2006/relationships/chartsheet" Target="chartsheets/sheet129.xml"/><Relationship Id="rId249" Type="http://schemas.openxmlformats.org/officeDocument/2006/relationships/chartsheet" Target="chartsheets/sheet143.xml"/><Relationship Id="rId414" Type="http://schemas.openxmlformats.org/officeDocument/2006/relationships/worksheet" Target="worksheets/sheet166.xml"/><Relationship Id="rId13" Type="http://schemas.openxmlformats.org/officeDocument/2006/relationships/worksheet" Target="worksheets/sheet13.xml"/><Relationship Id="rId109" Type="http://schemas.openxmlformats.org/officeDocument/2006/relationships/chartsheet" Target="chartsheets/sheet52.xml"/><Relationship Id="rId260" Type="http://schemas.openxmlformats.org/officeDocument/2006/relationships/chartsheet" Target="chartsheets/sheet149.xml"/><Relationship Id="rId281" Type="http://schemas.openxmlformats.org/officeDocument/2006/relationships/chartsheet" Target="chartsheets/sheet164.xml"/><Relationship Id="rId316" Type="http://schemas.openxmlformats.org/officeDocument/2006/relationships/chartsheet" Target="chartsheets/sheet187.xml"/><Relationship Id="rId337" Type="http://schemas.openxmlformats.org/officeDocument/2006/relationships/chartsheet" Target="chartsheets/sheet201.xml"/><Relationship Id="rId34" Type="http://schemas.openxmlformats.org/officeDocument/2006/relationships/worksheet" Target="worksheets/sheet34.xml"/><Relationship Id="rId55" Type="http://schemas.openxmlformats.org/officeDocument/2006/relationships/chartsheet" Target="chartsheets/sheet15.xml"/><Relationship Id="rId76" Type="http://schemas.openxmlformats.org/officeDocument/2006/relationships/chartsheet" Target="chartsheets/sheet29.xml"/><Relationship Id="rId97" Type="http://schemas.openxmlformats.org/officeDocument/2006/relationships/worksheet" Target="worksheets/sheet55.xml"/><Relationship Id="rId120" Type="http://schemas.openxmlformats.org/officeDocument/2006/relationships/worksheet" Target="worksheets/sheet62.xml"/><Relationship Id="rId141" Type="http://schemas.openxmlformats.org/officeDocument/2006/relationships/chartsheet" Target="chartsheets/sheet72.xml"/><Relationship Id="rId358" Type="http://schemas.openxmlformats.org/officeDocument/2006/relationships/chartsheet" Target="chartsheets/sheet216.xml"/><Relationship Id="rId379" Type="http://schemas.openxmlformats.org/officeDocument/2006/relationships/chartsheet" Target="chartsheets/sheet229.xml"/><Relationship Id="rId7" Type="http://schemas.openxmlformats.org/officeDocument/2006/relationships/worksheet" Target="worksheets/sheet7.xml"/><Relationship Id="rId162" Type="http://schemas.openxmlformats.org/officeDocument/2006/relationships/chartsheet" Target="chartsheets/sheet85.xml"/><Relationship Id="rId183" Type="http://schemas.openxmlformats.org/officeDocument/2006/relationships/chartsheet" Target="chartsheets/sheet103.xml"/><Relationship Id="rId218" Type="http://schemas.openxmlformats.org/officeDocument/2006/relationships/chartsheet" Target="chartsheets/sheet121.xml"/><Relationship Id="rId239" Type="http://schemas.openxmlformats.org/officeDocument/2006/relationships/chartsheet" Target="chartsheets/sheet135.xml"/><Relationship Id="rId390" Type="http://schemas.openxmlformats.org/officeDocument/2006/relationships/chartsheet" Target="chartsheets/sheet237.xml"/><Relationship Id="rId404" Type="http://schemas.openxmlformats.org/officeDocument/2006/relationships/chartsheet" Target="chartsheets/sheet243.xml"/><Relationship Id="rId425" Type="http://schemas.openxmlformats.org/officeDocument/2006/relationships/worksheet" Target="worksheets/sheet177.xml"/><Relationship Id="rId250" Type="http://schemas.openxmlformats.org/officeDocument/2006/relationships/chartsheet" Target="chartsheets/sheet144.xml"/><Relationship Id="rId271" Type="http://schemas.openxmlformats.org/officeDocument/2006/relationships/chartsheet" Target="chartsheets/sheet158.xml"/><Relationship Id="rId292" Type="http://schemas.openxmlformats.org/officeDocument/2006/relationships/chartsheet" Target="chartsheets/sheet171.xml"/><Relationship Id="rId306" Type="http://schemas.openxmlformats.org/officeDocument/2006/relationships/worksheet" Target="worksheets/sheet126.xml"/><Relationship Id="rId24" Type="http://schemas.openxmlformats.org/officeDocument/2006/relationships/worksheet" Target="worksheets/sheet24.xml"/><Relationship Id="rId45" Type="http://schemas.openxmlformats.org/officeDocument/2006/relationships/chartsheet" Target="chartsheets/sheet7.xml"/><Relationship Id="rId66" Type="http://schemas.openxmlformats.org/officeDocument/2006/relationships/chartsheet" Target="chartsheets/sheet22.xml"/><Relationship Id="rId87" Type="http://schemas.openxmlformats.org/officeDocument/2006/relationships/worksheet" Target="worksheets/sheet51.xml"/><Relationship Id="rId110" Type="http://schemas.openxmlformats.org/officeDocument/2006/relationships/worksheet" Target="worksheets/sheet58.xml"/><Relationship Id="rId131" Type="http://schemas.openxmlformats.org/officeDocument/2006/relationships/chartsheet" Target="chartsheets/sheet66.xml"/><Relationship Id="rId327" Type="http://schemas.openxmlformats.org/officeDocument/2006/relationships/chartsheet" Target="chartsheets/sheet195.xml"/><Relationship Id="rId348" Type="http://schemas.openxmlformats.org/officeDocument/2006/relationships/worksheet" Target="worksheets/sheet140.xml"/><Relationship Id="rId369" Type="http://schemas.openxmlformats.org/officeDocument/2006/relationships/worksheet" Target="worksheets/sheet147.xml"/><Relationship Id="rId152" Type="http://schemas.openxmlformats.org/officeDocument/2006/relationships/worksheet" Target="worksheets/sheet74.xml"/><Relationship Id="rId173" Type="http://schemas.openxmlformats.org/officeDocument/2006/relationships/chartsheet" Target="chartsheets/sheet93.xml"/><Relationship Id="rId194" Type="http://schemas.openxmlformats.org/officeDocument/2006/relationships/chartsheet" Target="chartsheets/sheet110.xml"/><Relationship Id="rId208" Type="http://schemas.openxmlformats.org/officeDocument/2006/relationships/worksheet" Target="worksheets/sheet94.xml"/><Relationship Id="rId229" Type="http://schemas.openxmlformats.org/officeDocument/2006/relationships/chartsheet" Target="chartsheets/sheet130.xml"/><Relationship Id="rId380" Type="http://schemas.openxmlformats.org/officeDocument/2006/relationships/chartsheet" Target="chartsheets/sheet230.xml"/><Relationship Id="rId415" Type="http://schemas.openxmlformats.org/officeDocument/2006/relationships/worksheet" Target="worksheets/sheet167.xml"/><Relationship Id="rId240" Type="http://schemas.openxmlformats.org/officeDocument/2006/relationships/chartsheet" Target="chartsheets/sheet136.xml"/><Relationship Id="rId261" Type="http://schemas.openxmlformats.org/officeDocument/2006/relationships/chartsheet" Target="chartsheets/sheet15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chartsheet" Target="chartsheets/sheet16.xml"/><Relationship Id="rId77" Type="http://schemas.openxmlformats.org/officeDocument/2006/relationships/chartsheet" Target="chartsheets/sheet30.xml"/><Relationship Id="rId100" Type="http://schemas.openxmlformats.org/officeDocument/2006/relationships/worksheet" Target="worksheets/sheet56.xml"/><Relationship Id="rId282" Type="http://schemas.openxmlformats.org/officeDocument/2006/relationships/worksheet" Target="worksheets/sheet118.xml"/><Relationship Id="rId317" Type="http://schemas.openxmlformats.org/officeDocument/2006/relationships/chartsheet" Target="chartsheets/sheet188.xml"/><Relationship Id="rId338" Type="http://schemas.openxmlformats.org/officeDocument/2006/relationships/chartsheet" Target="chartsheets/sheet202.xml"/><Relationship Id="rId359" Type="http://schemas.openxmlformats.org/officeDocument/2006/relationships/worksheet" Target="worksheets/sheet143.xml"/><Relationship Id="rId8" Type="http://schemas.openxmlformats.org/officeDocument/2006/relationships/worksheet" Target="worksheets/sheet8.xml"/><Relationship Id="rId98" Type="http://schemas.openxmlformats.org/officeDocument/2006/relationships/chartsheet" Target="chartsheets/sheet43.xml"/><Relationship Id="rId121" Type="http://schemas.openxmlformats.org/officeDocument/2006/relationships/chartsheet" Target="chartsheets/sheet59.xml"/><Relationship Id="rId142" Type="http://schemas.openxmlformats.org/officeDocument/2006/relationships/worksheet" Target="worksheets/sheet70.xml"/><Relationship Id="rId163" Type="http://schemas.openxmlformats.org/officeDocument/2006/relationships/chartsheet" Target="chartsheets/sheet86.xml"/><Relationship Id="rId184" Type="http://schemas.openxmlformats.org/officeDocument/2006/relationships/chartsheet" Target="chartsheets/sheet104.xml"/><Relationship Id="rId219" Type="http://schemas.openxmlformats.org/officeDocument/2006/relationships/chartsheet" Target="chartsheets/sheet122.xml"/><Relationship Id="rId370" Type="http://schemas.openxmlformats.org/officeDocument/2006/relationships/chartsheet" Target="chartsheets/sheet223.xml"/><Relationship Id="rId391" Type="http://schemas.openxmlformats.org/officeDocument/2006/relationships/chartsheet" Target="chartsheets/sheet238.xml"/><Relationship Id="rId405" Type="http://schemas.openxmlformats.org/officeDocument/2006/relationships/chartsheet" Target="chartsheets/sheet244.xml"/><Relationship Id="rId426" Type="http://schemas.openxmlformats.org/officeDocument/2006/relationships/theme" Target="theme/theme1.xml"/><Relationship Id="rId230" Type="http://schemas.openxmlformats.org/officeDocument/2006/relationships/worksheet" Target="worksheets/sheet100.xml"/><Relationship Id="rId251" Type="http://schemas.openxmlformats.org/officeDocument/2006/relationships/chartsheet" Target="chartsheets/sheet145.xml"/><Relationship Id="rId25" Type="http://schemas.openxmlformats.org/officeDocument/2006/relationships/worksheet" Target="worksheets/sheet25.xml"/><Relationship Id="rId46" Type="http://schemas.openxmlformats.org/officeDocument/2006/relationships/chartsheet" Target="chartsheets/sheet8.xml"/><Relationship Id="rId67" Type="http://schemas.openxmlformats.org/officeDocument/2006/relationships/worksheet" Target="worksheets/sheet45.xml"/><Relationship Id="rId272" Type="http://schemas.openxmlformats.org/officeDocument/2006/relationships/worksheet" Target="worksheets/sheet114.xml"/><Relationship Id="rId293" Type="http://schemas.openxmlformats.org/officeDocument/2006/relationships/chartsheet" Target="chartsheets/sheet172.xml"/><Relationship Id="rId307" Type="http://schemas.openxmlformats.org/officeDocument/2006/relationships/chartsheet" Target="chartsheets/sheet181.xml"/><Relationship Id="rId328" Type="http://schemas.openxmlformats.org/officeDocument/2006/relationships/chartsheet" Target="chartsheets/sheet196.xml"/><Relationship Id="rId349" Type="http://schemas.openxmlformats.org/officeDocument/2006/relationships/chartsheet" Target="chartsheets/sheet209.xml"/><Relationship Id="rId88" Type="http://schemas.openxmlformats.org/officeDocument/2006/relationships/chartsheet" Target="chartsheets/sheet37.xml"/><Relationship Id="rId111" Type="http://schemas.openxmlformats.org/officeDocument/2006/relationships/chartsheet" Target="chartsheets/sheet53.xml"/><Relationship Id="rId132" Type="http://schemas.openxmlformats.org/officeDocument/2006/relationships/worksheet" Target="worksheets/sheet66.xml"/><Relationship Id="rId153" Type="http://schemas.openxmlformats.org/officeDocument/2006/relationships/chartsheet" Target="chartsheets/sheet79.xml"/><Relationship Id="rId174" Type="http://schemas.openxmlformats.org/officeDocument/2006/relationships/chartsheet" Target="chartsheets/sheet94.xml"/><Relationship Id="rId195" Type="http://schemas.openxmlformats.org/officeDocument/2006/relationships/worksheet" Target="worksheets/sheet85.xml"/><Relationship Id="rId209" Type="http://schemas.openxmlformats.org/officeDocument/2006/relationships/worksheet" Target="worksheets/sheet95.xml"/><Relationship Id="rId360" Type="http://schemas.openxmlformats.org/officeDocument/2006/relationships/chartsheet" Target="chartsheets/sheet217.xml"/><Relationship Id="rId381" Type="http://schemas.openxmlformats.org/officeDocument/2006/relationships/worksheet" Target="worksheets/sheet151.xml"/><Relationship Id="rId416" Type="http://schemas.openxmlformats.org/officeDocument/2006/relationships/worksheet" Target="worksheets/sheet168.xml"/><Relationship Id="rId220" Type="http://schemas.openxmlformats.org/officeDocument/2006/relationships/chartsheet" Target="chartsheets/sheet123.xml"/><Relationship Id="rId241" Type="http://schemas.openxmlformats.org/officeDocument/2006/relationships/chartsheet" Target="chartsheets/sheet1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41.xml"/><Relationship Id="rId262" Type="http://schemas.openxmlformats.org/officeDocument/2006/relationships/worksheet" Target="worksheets/sheet112.xml"/><Relationship Id="rId283" Type="http://schemas.openxmlformats.org/officeDocument/2006/relationships/chartsheet" Target="chartsheets/sheet165.xml"/><Relationship Id="rId318" Type="http://schemas.openxmlformats.org/officeDocument/2006/relationships/worksheet" Target="worksheets/sheet130.xml"/><Relationship Id="rId339" Type="http://schemas.openxmlformats.org/officeDocument/2006/relationships/worksheet" Target="worksheets/sheet137.xml"/><Relationship Id="rId78" Type="http://schemas.openxmlformats.org/officeDocument/2006/relationships/worksheet" Target="worksheets/sheet48.xml"/><Relationship Id="rId99" Type="http://schemas.openxmlformats.org/officeDocument/2006/relationships/chartsheet" Target="chartsheets/sheet44.xml"/><Relationship Id="rId101" Type="http://schemas.openxmlformats.org/officeDocument/2006/relationships/chartsheet" Target="chartsheets/sheet45.xml"/><Relationship Id="rId122" Type="http://schemas.openxmlformats.org/officeDocument/2006/relationships/chartsheet" Target="chartsheets/sheet60.xml"/><Relationship Id="rId143" Type="http://schemas.openxmlformats.org/officeDocument/2006/relationships/chartsheet" Target="chartsheets/sheet73.xml"/><Relationship Id="rId164" Type="http://schemas.openxmlformats.org/officeDocument/2006/relationships/worksheet" Target="worksheets/sheet78.xml"/><Relationship Id="rId185" Type="http://schemas.openxmlformats.org/officeDocument/2006/relationships/chartsheet" Target="chartsheets/sheet105.xml"/><Relationship Id="rId350" Type="http://schemas.openxmlformats.org/officeDocument/2006/relationships/chartsheet" Target="chartsheets/sheet210.xml"/><Relationship Id="rId371" Type="http://schemas.openxmlformats.org/officeDocument/2006/relationships/chartsheet" Target="chartsheets/sheet224.xml"/><Relationship Id="rId406" Type="http://schemas.openxmlformats.org/officeDocument/2006/relationships/chartsheet" Target="chartsheets/sheet245.xml"/><Relationship Id="rId9" Type="http://schemas.openxmlformats.org/officeDocument/2006/relationships/worksheet" Target="worksheets/sheet9.xml"/><Relationship Id="rId210" Type="http://schemas.openxmlformats.org/officeDocument/2006/relationships/chartsheet" Target="chartsheets/sheet115.xml"/><Relationship Id="rId392" Type="http://schemas.openxmlformats.org/officeDocument/2006/relationships/worksheet" Target="worksheets/sheet154.xml"/><Relationship Id="rId427" Type="http://schemas.openxmlformats.org/officeDocument/2006/relationships/styles" Target="style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101.xml"/><Relationship Id="rId252" Type="http://schemas.openxmlformats.org/officeDocument/2006/relationships/chartsheet" Target="chartsheets/sheet146.xml"/><Relationship Id="rId273" Type="http://schemas.openxmlformats.org/officeDocument/2006/relationships/worksheet" Target="worksheets/sheet115.xml"/><Relationship Id="rId294" Type="http://schemas.openxmlformats.org/officeDocument/2006/relationships/chartsheet" Target="chartsheets/sheet173.xml"/><Relationship Id="rId308" Type="http://schemas.openxmlformats.org/officeDocument/2006/relationships/chartsheet" Target="chartsheets/sheet182.xml"/><Relationship Id="rId329" Type="http://schemas.openxmlformats.org/officeDocument/2006/relationships/worksheet" Target="worksheets/sheet133.xml"/><Relationship Id="rId47" Type="http://schemas.openxmlformats.org/officeDocument/2006/relationships/chartsheet" Target="chartsheets/sheet9.xml"/><Relationship Id="rId68" Type="http://schemas.openxmlformats.org/officeDocument/2006/relationships/worksheet" Target="worksheets/sheet46.xml"/><Relationship Id="rId89" Type="http://schemas.openxmlformats.org/officeDocument/2006/relationships/chartsheet" Target="chartsheets/sheet38.xml"/><Relationship Id="rId112" Type="http://schemas.openxmlformats.org/officeDocument/2006/relationships/chartsheet" Target="chartsheets/sheet54.xml"/><Relationship Id="rId133" Type="http://schemas.openxmlformats.org/officeDocument/2006/relationships/chartsheet" Target="chartsheets/sheet67.xml"/><Relationship Id="rId154" Type="http://schemas.openxmlformats.org/officeDocument/2006/relationships/chartsheet" Target="chartsheets/sheet80.xml"/><Relationship Id="rId175" Type="http://schemas.openxmlformats.org/officeDocument/2006/relationships/chartsheet" Target="chartsheets/sheet95.xml"/><Relationship Id="rId340" Type="http://schemas.openxmlformats.org/officeDocument/2006/relationships/chartsheet" Target="chartsheets/sheet203.xml"/><Relationship Id="rId361" Type="http://schemas.openxmlformats.org/officeDocument/2006/relationships/chartsheet" Target="chartsheets/sheet218.xml"/><Relationship Id="rId196" Type="http://schemas.openxmlformats.org/officeDocument/2006/relationships/worksheet" Target="worksheets/sheet86.xml"/><Relationship Id="rId200" Type="http://schemas.openxmlformats.org/officeDocument/2006/relationships/worksheet" Target="worksheets/sheet90.xml"/><Relationship Id="rId382" Type="http://schemas.openxmlformats.org/officeDocument/2006/relationships/chartsheet" Target="chartsheets/sheet231.xml"/><Relationship Id="rId417" Type="http://schemas.openxmlformats.org/officeDocument/2006/relationships/worksheet" Target="worksheets/sheet169.xml"/><Relationship Id="rId16" Type="http://schemas.openxmlformats.org/officeDocument/2006/relationships/worksheet" Target="worksheets/sheet16.xml"/><Relationship Id="rId221" Type="http://schemas.openxmlformats.org/officeDocument/2006/relationships/chartsheet" Target="chartsheets/sheet124.xml"/><Relationship Id="rId242" Type="http://schemas.openxmlformats.org/officeDocument/2006/relationships/chartsheet" Target="chartsheets/sheet138.xml"/><Relationship Id="rId263" Type="http://schemas.openxmlformats.org/officeDocument/2006/relationships/worksheet" Target="worksheets/sheet113.xml"/><Relationship Id="rId284" Type="http://schemas.openxmlformats.org/officeDocument/2006/relationships/chartsheet" Target="chartsheets/sheet166.xml"/><Relationship Id="rId319" Type="http://schemas.openxmlformats.org/officeDocument/2006/relationships/chartsheet" Target="chartsheets/sheet189.xml"/><Relationship Id="rId37" Type="http://schemas.openxmlformats.org/officeDocument/2006/relationships/chartsheet" Target="chartsheets/sheet1.xml"/><Relationship Id="rId58" Type="http://schemas.openxmlformats.org/officeDocument/2006/relationships/chartsheet" Target="chartsheets/sheet17.xml"/><Relationship Id="rId79" Type="http://schemas.openxmlformats.org/officeDocument/2006/relationships/chartsheet" Target="chartsheets/sheet31.xml"/><Relationship Id="rId102" Type="http://schemas.openxmlformats.org/officeDocument/2006/relationships/chartsheet" Target="chartsheets/sheet46.xml"/><Relationship Id="rId123" Type="http://schemas.openxmlformats.org/officeDocument/2006/relationships/worksheet" Target="worksheets/sheet63.xml"/><Relationship Id="rId144" Type="http://schemas.openxmlformats.org/officeDocument/2006/relationships/chartsheet" Target="chartsheets/sheet74.xml"/><Relationship Id="rId330" Type="http://schemas.openxmlformats.org/officeDocument/2006/relationships/chartsheet" Target="chartsheets/sheet197.xml"/><Relationship Id="rId90" Type="http://schemas.openxmlformats.org/officeDocument/2006/relationships/worksheet" Target="worksheets/sheet52.xml"/><Relationship Id="rId165" Type="http://schemas.openxmlformats.org/officeDocument/2006/relationships/worksheet" Target="worksheets/sheet79.xml"/><Relationship Id="rId186" Type="http://schemas.openxmlformats.org/officeDocument/2006/relationships/chartsheet" Target="chartsheets/sheet106.xml"/><Relationship Id="rId351" Type="http://schemas.openxmlformats.org/officeDocument/2006/relationships/worksheet" Target="worksheets/sheet141.xml"/><Relationship Id="rId372" Type="http://schemas.openxmlformats.org/officeDocument/2006/relationships/worksheet" Target="worksheets/sheet148.xml"/><Relationship Id="rId393" Type="http://schemas.openxmlformats.org/officeDocument/2006/relationships/worksheet" Target="worksheets/sheet155.xml"/><Relationship Id="rId407" Type="http://schemas.openxmlformats.org/officeDocument/2006/relationships/chartsheet" Target="chartsheets/sheet246.xml"/><Relationship Id="rId428" Type="http://schemas.openxmlformats.org/officeDocument/2006/relationships/sharedStrings" Target="sharedStrings.xml"/><Relationship Id="rId211" Type="http://schemas.openxmlformats.org/officeDocument/2006/relationships/chartsheet" Target="chartsheets/sheet116.xml"/><Relationship Id="rId232" Type="http://schemas.openxmlformats.org/officeDocument/2006/relationships/worksheet" Target="worksheets/sheet102.xml"/><Relationship Id="rId253" Type="http://schemas.openxmlformats.org/officeDocument/2006/relationships/worksheet" Target="worksheets/sheet107.xml"/><Relationship Id="rId274" Type="http://schemas.openxmlformats.org/officeDocument/2006/relationships/chartsheet" Target="chartsheets/sheet159.xml"/><Relationship Id="rId295" Type="http://schemas.openxmlformats.org/officeDocument/2006/relationships/chartsheet" Target="chartsheets/sheet174.xml"/><Relationship Id="rId309" Type="http://schemas.openxmlformats.org/officeDocument/2006/relationships/worksheet" Target="worksheets/sheet127.xml"/><Relationship Id="rId27" Type="http://schemas.openxmlformats.org/officeDocument/2006/relationships/worksheet" Target="worksheets/sheet27.xml"/><Relationship Id="rId48" Type="http://schemas.openxmlformats.org/officeDocument/2006/relationships/chartsheet" Target="chartsheets/sheet10.xml"/><Relationship Id="rId69" Type="http://schemas.openxmlformats.org/officeDocument/2006/relationships/chartsheet" Target="chartsheets/sheet23.xml"/><Relationship Id="rId113" Type="http://schemas.openxmlformats.org/officeDocument/2006/relationships/worksheet" Target="worksheets/sheet59.xml"/><Relationship Id="rId134" Type="http://schemas.openxmlformats.org/officeDocument/2006/relationships/chartsheet" Target="chartsheets/sheet68.xml"/><Relationship Id="rId320" Type="http://schemas.openxmlformats.org/officeDocument/2006/relationships/chartsheet" Target="chartsheets/sheet190.xml"/><Relationship Id="rId80" Type="http://schemas.openxmlformats.org/officeDocument/2006/relationships/chartsheet" Target="chartsheets/sheet32.xml"/><Relationship Id="rId155" Type="http://schemas.openxmlformats.org/officeDocument/2006/relationships/worksheet" Target="worksheets/sheet75.xml"/><Relationship Id="rId176" Type="http://schemas.openxmlformats.org/officeDocument/2006/relationships/chartsheet" Target="chartsheets/sheet96.xml"/><Relationship Id="rId197" Type="http://schemas.openxmlformats.org/officeDocument/2006/relationships/worksheet" Target="worksheets/sheet87.xml"/><Relationship Id="rId341" Type="http://schemas.openxmlformats.org/officeDocument/2006/relationships/chartsheet" Target="chartsheets/sheet204.xml"/><Relationship Id="rId362" Type="http://schemas.openxmlformats.org/officeDocument/2006/relationships/worksheet" Target="worksheets/sheet144.xml"/><Relationship Id="rId383" Type="http://schemas.openxmlformats.org/officeDocument/2006/relationships/chartsheet" Target="chartsheets/sheet232.xml"/><Relationship Id="rId418" Type="http://schemas.openxmlformats.org/officeDocument/2006/relationships/worksheet" Target="worksheets/sheet170.xml"/><Relationship Id="rId201" Type="http://schemas.openxmlformats.org/officeDocument/2006/relationships/worksheet" Target="worksheets/sheet91.xml"/><Relationship Id="rId222" Type="http://schemas.openxmlformats.org/officeDocument/2006/relationships/chartsheet" Target="chartsheets/sheet125.xml"/><Relationship Id="rId243" Type="http://schemas.openxmlformats.org/officeDocument/2006/relationships/chartsheet" Target="chartsheets/sheet139.xml"/><Relationship Id="rId264" Type="http://schemas.openxmlformats.org/officeDocument/2006/relationships/chartsheet" Target="chartsheets/sheet151.xml"/><Relationship Id="rId285" Type="http://schemas.openxmlformats.org/officeDocument/2006/relationships/worksheet" Target="worksheets/sheet119.xml"/><Relationship Id="rId17" Type="http://schemas.openxmlformats.org/officeDocument/2006/relationships/worksheet" Target="worksheets/sheet17.xml"/><Relationship Id="rId38" Type="http://schemas.openxmlformats.org/officeDocument/2006/relationships/chartsheet" Target="chartsheets/sheet2.xml"/><Relationship Id="rId59" Type="http://schemas.openxmlformats.org/officeDocument/2006/relationships/chartsheet" Target="chartsheets/sheet18.xml"/><Relationship Id="rId103" Type="http://schemas.openxmlformats.org/officeDocument/2006/relationships/chartsheet" Target="chartsheets/sheet47.xml"/><Relationship Id="rId124" Type="http://schemas.openxmlformats.org/officeDocument/2006/relationships/chartsheet" Target="chartsheets/sheet61.xml"/><Relationship Id="rId310" Type="http://schemas.openxmlformats.org/officeDocument/2006/relationships/chartsheet" Target="chartsheets/sheet183.xml"/><Relationship Id="rId70" Type="http://schemas.openxmlformats.org/officeDocument/2006/relationships/chartsheet" Target="chartsheets/sheet24.xml"/><Relationship Id="rId91" Type="http://schemas.openxmlformats.org/officeDocument/2006/relationships/chartsheet" Target="chartsheets/sheet39.xml"/><Relationship Id="rId145" Type="http://schemas.openxmlformats.org/officeDocument/2006/relationships/worksheet" Target="worksheets/sheet71.xml"/><Relationship Id="rId166" Type="http://schemas.openxmlformats.org/officeDocument/2006/relationships/worksheet" Target="worksheets/sheet80.xml"/><Relationship Id="rId187" Type="http://schemas.openxmlformats.org/officeDocument/2006/relationships/worksheet" Target="worksheets/sheet81.xml"/><Relationship Id="rId331" Type="http://schemas.openxmlformats.org/officeDocument/2006/relationships/chartsheet" Target="chartsheets/sheet198.xml"/><Relationship Id="rId352" Type="http://schemas.openxmlformats.org/officeDocument/2006/relationships/chartsheet" Target="chartsheets/sheet211.xml"/><Relationship Id="rId373" Type="http://schemas.openxmlformats.org/officeDocument/2006/relationships/chartsheet" Target="chartsheets/sheet225.xml"/><Relationship Id="rId394" Type="http://schemas.openxmlformats.org/officeDocument/2006/relationships/worksheet" Target="worksheets/sheet156.xml"/><Relationship Id="rId408" Type="http://schemas.openxmlformats.org/officeDocument/2006/relationships/worksheet" Target="worksheets/sheet162.xml"/><Relationship Id="rId429" Type="http://schemas.openxmlformats.org/officeDocument/2006/relationships/calcChain" Target="calcChain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96.xml"/><Relationship Id="rId233" Type="http://schemas.openxmlformats.org/officeDocument/2006/relationships/chartsheet" Target="chartsheets/sheet131.xml"/><Relationship Id="rId254" Type="http://schemas.openxmlformats.org/officeDocument/2006/relationships/worksheet" Target="worksheets/sheet108.xml"/><Relationship Id="rId28" Type="http://schemas.openxmlformats.org/officeDocument/2006/relationships/worksheet" Target="worksheets/sheet28.xml"/><Relationship Id="rId49" Type="http://schemas.openxmlformats.org/officeDocument/2006/relationships/chartsheet" Target="chartsheets/sheet11.xml"/><Relationship Id="rId114" Type="http://schemas.openxmlformats.org/officeDocument/2006/relationships/chartsheet" Target="chartsheets/sheet55.xml"/><Relationship Id="rId275" Type="http://schemas.openxmlformats.org/officeDocument/2006/relationships/chartsheet" Target="chartsheets/sheet160.xml"/><Relationship Id="rId296" Type="http://schemas.openxmlformats.org/officeDocument/2006/relationships/worksheet" Target="worksheets/sheet122.xml"/><Relationship Id="rId300" Type="http://schemas.openxmlformats.org/officeDocument/2006/relationships/chartsheet" Target="chartsheets/sheet177.xml"/><Relationship Id="rId60" Type="http://schemas.openxmlformats.org/officeDocument/2006/relationships/worksheet" Target="worksheets/sheet42.xml"/><Relationship Id="rId81" Type="http://schemas.openxmlformats.org/officeDocument/2006/relationships/worksheet" Target="worksheets/sheet49.xml"/><Relationship Id="rId135" Type="http://schemas.openxmlformats.org/officeDocument/2006/relationships/worksheet" Target="worksheets/sheet67.xml"/><Relationship Id="rId156" Type="http://schemas.openxmlformats.org/officeDocument/2006/relationships/chartsheet" Target="chartsheets/sheet81.xml"/><Relationship Id="rId177" Type="http://schemas.openxmlformats.org/officeDocument/2006/relationships/chartsheet" Target="chartsheets/sheet97.xml"/><Relationship Id="rId198" Type="http://schemas.openxmlformats.org/officeDocument/2006/relationships/worksheet" Target="worksheets/sheet88.xml"/><Relationship Id="rId321" Type="http://schemas.openxmlformats.org/officeDocument/2006/relationships/worksheet" Target="worksheets/sheet131.xml"/><Relationship Id="rId342" Type="http://schemas.openxmlformats.org/officeDocument/2006/relationships/worksheet" Target="worksheets/sheet138.xml"/><Relationship Id="rId363" Type="http://schemas.openxmlformats.org/officeDocument/2006/relationships/worksheet" Target="worksheets/sheet145.xml"/><Relationship Id="rId384" Type="http://schemas.openxmlformats.org/officeDocument/2006/relationships/chartsheet" Target="chartsheets/sheet233.xml"/><Relationship Id="rId419" Type="http://schemas.openxmlformats.org/officeDocument/2006/relationships/worksheet" Target="worksheets/sheet171.xml"/><Relationship Id="rId202" Type="http://schemas.openxmlformats.org/officeDocument/2006/relationships/chartsheet" Target="chartsheets/sheet111.xml"/><Relationship Id="rId223" Type="http://schemas.openxmlformats.org/officeDocument/2006/relationships/chartsheet" Target="chartsheets/sheet126.xml"/><Relationship Id="rId244" Type="http://schemas.openxmlformats.org/officeDocument/2006/relationships/chartsheet" Target="chartsheets/sheet14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7.xml"/><Relationship Id="rId265" Type="http://schemas.openxmlformats.org/officeDocument/2006/relationships/chartsheet" Target="chartsheets/sheet152.xml"/><Relationship Id="rId286" Type="http://schemas.openxmlformats.org/officeDocument/2006/relationships/chartsheet" Target="chartsheets/sheet167.xml"/><Relationship Id="rId50" Type="http://schemas.openxmlformats.org/officeDocument/2006/relationships/chartsheet" Target="chartsheets/sheet12.xml"/><Relationship Id="rId104" Type="http://schemas.openxmlformats.org/officeDocument/2006/relationships/chartsheet" Target="chartsheets/sheet48.xml"/><Relationship Id="rId125" Type="http://schemas.openxmlformats.org/officeDocument/2006/relationships/chartsheet" Target="chartsheets/sheet62.xml"/><Relationship Id="rId146" Type="http://schemas.openxmlformats.org/officeDocument/2006/relationships/chartsheet" Target="chartsheets/sheet75.xml"/><Relationship Id="rId167" Type="http://schemas.openxmlformats.org/officeDocument/2006/relationships/chartsheet" Target="chartsheets/sheet87.xml"/><Relationship Id="rId188" Type="http://schemas.openxmlformats.org/officeDocument/2006/relationships/worksheet" Target="worksheets/sheet82.xml"/><Relationship Id="rId311" Type="http://schemas.openxmlformats.org/officeDocument/2006/relationships/chartsheet" Target="chartsheets/sheet184.xml"/><Relationship Id="rId332" Type="http://schemas.openxmlformats.org/officeDocument/2006/relationships/worksheet" Target="worksheets/sheet134.xml"/><Relationship Id="rId353" Type="http://schemas.openxmlformats.org/officeDocument/2006/relationships/chartsheet" Target="chartsheets/sheet212.xml"/><Relationship Id="rId374" Type="http://schemas.openxmlformats.org/officeDocument/2006/relationships/chartsheet" Target="chartsheets/sheet226.xml"/><Relationship Id="rId395" Type="http://schemas.openxmlformats.org/officeDocument/2006/relationships/worksheet" Target="worksheets/sheet157.xml"/><Relationship Id="rId409" Type="http://schemas.openxmlformats.org/officeDocument/2006/relationships/chartsheet" Target="chartsheets/sheet247.xml"/><Relationship Id="rId71" Type="http://schemas.openxmlformats.org/officeDocument/2006/relationships/worksheet" Target="worksheets/sheet47.xml"/><Relationship Id="rId92" Type="http://schemas.openxmlformats.org/officeDocument/2006/relationships/chartsheet" Target="chartsheets/sheet40.xml"/><Relationship Id="rId213" Type="http://schemas.openxmlformats.org/officeDocument/2006/relationships/chartsheet" Target="chartsheets/sheet117.xml"/><Relationship Id="rId234" Type="http://schemas.openxmlformats.org/officeDocument/2006/relationships/chartsheet" Target="chartsheets/sheet132.xml"/><Relationship Id="rId420" Type="http://schemas.openxmlformats.org/officeDocument/2006/relationships/worksheet" Target="worksheets/sheet17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109.xml"/><Relationship Id="rId276" Type="http://schemas.openxmlformats.org/officeDocument/2006/relationships/worksheet" Target="worksheets/sheet116.xml"/><Relationship Id="rId297" Type="http://schemas.openxmlformats.org/officeDocument/2006/relationships/chartsheet" Target="chartsheets/sheet175.xml"/><Relationship Id="rId40" Type="http://schemas.openxmlformats.org/officeDocument/2006/relationships/chartsheet" Target="chartsheets/sheet3.xml"/><Relationship Id="rId115" Type="http://schemas.openxmlformats.org/officeDocument/2006/relationships/chartsheet" Target="chartsheets/sheet56.xml"/><Relationship Id="rId136" Type="http://schemas.openxmlformats.org/officeDocument/2006/relationships/chartsheet" Target="chartsheets/sheet69.xml"/><Relationship Id="rId157" Type="http://schemas.openxmlformats.org/officeDocument/2006/relationships/chartsheet" Target="chartsheets/sheet82.xml"/><Relationship Id="rId178" Type="http://schemas.openxmlformats.org/officeDocument/2006/relationships/chartsheet" Target="chartsheets/sheet98.xml"/><Relationship Id="rId301" Type="http://schemas.openxmlformats.org/officeDocument/2006/relationships/chartsheet" Target="chartsheets/sheet178.xml"/><Relationship Id="rId322" Type="http://schemas.openxmlformats.org/officeDocument/2006/relationships/chartsheet" Target="chartsheets/sheet191.xml"/><Relationship Id="rId343" Type="http://schemas.openxmlformats.org/officeDocument/2006/relationships/chartsheet" Target="chartsheets/sheet205.xml"/><Relationship Id="rId364" Type="http://schemas.openxmlformats.org/officeDocument/2006/relationships/chartsheet" Target="chartsheets/sheet219.xml"/><Relationship Id="rId61" Type="http://schemas.openxmlformats.org/officeDocument/2006/relationships/worksheet" Target="worksheets/sheet43.xml"/><Relationship Id="rId82" Type="http://schemas.openxmlformats.org/officeDocument/2006/relationships/chartsheet" Target="chartsheets/sheet33.xml"/><Relationship Id="rId199" Type="http://schemas.openxmlformats.org/officeDocument/2006/relationships/worksheet" Target="worksheets/sheet89.xml"/><Relationship Id="rId203" Type="http://schemas.openxmlformats.org/officeDocument/2006/relationships/chartsheet" Target="chartsheets/sheet112.xml"/><Relationship Id="rId385" Type="http://schemas.openxmlformats.org/officeDocument/2006/relationships/chartsheet" Target="chartsheets/sheet234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98.xml"/><Relationship Id="rId245" Type="http://schemas.openxmlformats.org/officeDocument/2006/relationships/chartsheet" Target="chartsheets/sheet141.xml"/><Relationship Id="rId266" Type="http://schemas.openxmlformats.org/officeDocument/2006/relationships/chartsheet" Target="chartsheets/sheet153.xml"/><Relationship Id="rId287" Type="http://schemas.openxmlformats.org/officeDocument/2006/relationships/chartsheet" Target="chartsheets/sheet168.xml"/><Relationship Id="rId410" Type="http://schemas.openxmlformats.org/officeDocument/2006/relationships/chartsheet" Target="chartsheets/sheet248.xml"/><Relationship Id="rId30" Type="http://schemas.openxmlformats.org/officeDocument/2006/relationships/worksheet" Target="worksheets/sheet30.xml"/><Relationship Id="rId105" Type="http://schemas.openxmlformats.org/officeDocument/2006/relationships/chartsheet" Target="chartsheets/sheet49.xml"/><Relationship Id="rId126" Type="http://schemas.openxmlformats.org/officeDocument/2006/relationships/worksheet" Target="worksheets/sheet64.xml"/><Relationship Id="rId147" Type="http://schemas.openxmlformats.org/officeDocument/2006/relationships/chartsheet" Target="chartsheets/sheet76.xml"/><Relationship Id="rId168" Type="http://schemas.openxmlformats.org/officeDocument/2006/relationships/chartsheet" Target="chartsheets/sheet88.xml"/><Relationship Id="rId312" Type="http://schemas.openxmlformats.org/officeDocument/2006/relationships/worksheet" Target="worksheets/sheet128.xml"/><Relationship Id="rId333" Type="http://schemas.openxmlformats.org/officeDocument/2006/relationships/worksheet" Target="worksheets/sheet135.xml"/><Relationship Id="rId354" Type="http://schemas.openxmlformats.org/officeDocument/2006/relationships/chartsheet" Target="chartsheets/sheet213.xml"/><Relationship Id="rId51" Type="http://schemas.openxmlformats.org/officeDocument/2006/relationships/worksheet" Target="worksheets/sheet39.xml"/><Relationship Id="rId72" Type="http://schemas.openxmlformats.org/officeDocument/2006/relationships/chartsheet" Target="chartsheets/sheet25.xml"/><Relationship Id="rId93" Type="http://schemas.openxmlformats.org/officeDocument/2006/relationships/worksheet" Target="worksheets/sheet53.xml"/><Relationship Id="rId189" Type="http://schemas.openxmlformats.org/officeDocument/2006/relationships/worksheet" Target="worksheets/sheet83.xml"/><Relationship Id="rId375" Type="http://schemas.openxmlformats.org/officeDocument/2006/relationships/worksheet" Target="worksheets/sheet149.xml"/><Relationship Id="rId396" Type="http://schemas.openxmlformats.org/officeDocument/2006/relationships/worksheet" Target="worksheets/sheet158.xml"/><Relationship Id="rId3" Type="http://schemas.openxmlformats.org/officeDocument/2006/relationships/worksheet" Target="worksheets/sheet3.xml"/><Relationship Id="rId214" Type="http://schemas.openxmlformats.org/officeDocument/2006/relationships/chartsheet" Target="chartsheets/sheet118.xml"/><Relationship Id="rId235" Type="http://schemas.openxmlformats.org/officeDocument/2006/relationships/worksheet" Target="worksheets/sheet103.xml"/><Relationship Id="rId256" Type="http://schemas.openxmlformats.org/officeDocument/2006/relationships/chartsheet" Target="chartsheets/sheet147.xml"/><Relationship Id="rId277" Type="http://schemas.openxmlformats.org/officeDocument/2006/relationships/chartsheet" Target="chartsheets/sheet161.xml"/><Relationship Id="rId298" Type="http://schemas.openxmlformats.org/officeDocument/2006/relationships/chartsheet" Target="chartsheets/sheet176.xml"/><Relationship Id="rId400" Type="http://schemas.openxmlformats.org/officeDocument/2006/relationships/chartsheet" Target="chartsheets/sheet240.xml"/><Relationship Id="rId421" Type="http://schemas.openxmlformats.org/officeDocument/2006/relationships/worksheet" Target="worksheets/sheet173.xml"/><Relationship Id="rId116" Type="http://schemas.openxmlformats.org/officeDocument/2006/relationships/worksheet" Target="worksheets/sheet60.xml"/><Relationship Id="rId137" Type="http://schemas.openxmlformats.org/officeDocument/2006/relationships/chartsheet" Target="chartsheets/sheet70.xml"/><Relationship Id="rId158" Type="http://schemas.openxmlformats.org/officeDocument/2006/relationships/worksheet" Target="worksheets/sheet76.xml"/><Relationship Id="rId302" Type="http://schemas.openxmlformats.org/officeDocument/2006/relationships/worksheet" Target="worksheets/sheet124.xml"/><Relationship Id="rId323" Type="http://schemas.openxmlformats.org/officeDocument/2006/relationships/chartsheet" Target="chartsheets/sheet192.xml"/><Relationship Id="rId344" Type="http://schemas.openxmlformats.org/officeDocument/2006/relationships/chartsheet" Target="chartsheets/sheet206.xml"/><Relationship Id="rId20" Type="http://schemas.openxmlformats.org/officeDocument/2006/relationships/worksheet" Target="worksheets/sheet20.xml"/><Relationship Id="rId41" Type="http://schemas.openxmlformats.org/officeDocument/2006/relationships/chartsheet" Target="chartsheets/sheet4.xml"/><Relationship Id="rId62" Type="http://schemas.openxmlformats.org/officeDocument/2006/relationships/chartsheet" Target="chartsheets/sheet19.xml"/><Relationship Id="rId83" Type="http://schemas.openxmlformats.org/officeDocument/2006/relationships/chartsheet" Target="chartsheets/sheet34.xml"/><Relationship Id="rId179" Type="http://schemas.openxmlformats.org/officeDocument/2006/relationships/chartsheet" Target="chartsheets/sheet99.xml"/><Relationship Id="rId365" Type="http://schemas.openxmlformats.org/officeDocument/2006/relationships/chartsheet" Target="chartsheets/sheet220.xml"/><Relationship Id="rId386" Type="http://schemas.openxmlformats.org/officeDocument/2006/relationships/worksheet" Target="worksheets/sheet152.xml"/><Relationship Id="rId190" Type="http://schemas.openxmlformats.org/officeDocument/2006/relationships/worksheet" Target="worksheets/sheet84.xml"/><Relationship Id="rId204" Type="http://schemas.openxmlformats.org/officeDocument/2006/relationships/chartsheet" Target="chartsheets/sheet113.xml"/><Relationship Id="rId225" Type="http://schemas.openxmlformats.org/officeDocument/2006/relationships/worksheet" Target="worksheets/sheet99.xml"/><Relationship Id="rId246" Type="http://schemas.openxmlformats.org/officeDocument/2006/relationships/chartsheet" Target="chartsheets/sheet142.xml"/><Relationship Id="rId267" Type="http://schemas.openxmlformats.org/officeDocument/2006/relationships/chartsheet" Target="chartsheets/sheet154.xml"/><Relationship Id="rId288" Type="http://schemas.openxmlformats.org/officeDocument/2006/relationships/worksheet" Target="worksheets/sheet120.xml"/><Relationship Id="rId411" Type="http://schemas.openxmlformats.org/officeDocument/2006/relationships/worksheet" Target="worksheets/sheet163.xml"/><Relationship Id="rId106" Type="http://schemas.openxmlformats.org/officeDocument/2006/relationships/chartsheet" Target="chartsheets/sheet50.xml"/><Relationship Id="rId127" Type="http://schemas.openxmlformats.org/officeDocument/2006/relationships/chartsheet" Target="chartsheets/sheet63.xml"/><Relationship Id="rId313" Type="http://schemas.openxmlformats.org/officeDocument/2006/relationships/chartsheet" Target="chartsheets/sheet18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hartsheet" Target="chartsheets/sheet13.xml"/><Relationship Id="rId73" Type="http://schemas.openxmlformats.org/officeDocument/2006/relationships/chartsheet" Target="chartsheets/sheet26.xml"/><Relationship Id="rId94" Type="http://schemas.openxmlformats.org/officeDocument/2006/relationships/chartsheet" Target="chartsheets/sheet41.xml"/><Relationship Id="rId148" Type="http://schemas.openxmlformats.org/officeDocument/2006/relationships/worksheet" Target="worksheets/sheet72.xml"/><Relationship Id="rId169" Type="http://schemas.openxmlformats.org/officeDocument/2006/relationships/chartsheet" Target="chartsheets/sheet89.xml"/><Relationship Id="rId334" Type="http://schemas.openxmlformats.org/officeDocument/2006/relationships/chartsheet" Target="chartsheets/sheet199.xml"/><Relationship Id="rId355" Type="http://schemas.openxmlformats.org/officeDocument/2006/relationships/chartsheet" Target="chartsheets/sheet214.xml"/><Relationship Id="rId376" Type="http://schemas.openxmlformats.org/officeDocument/2006/relationships/chartsheet" Target="chartsheets/sheet227.xml"/><Relationship Id="rId397" Type="http://schemas.openxmlformats.org/officeDocument/2006/relationships/worksheet" Target="worksheets/sheet159.xml"/><Relationship Id="rId4" Type="http://schemas.openxmlformats.org/officeDocument/2006/relationships/worksheet" Target="worksheets/sheet4.xml"/><Relationship Id="rId180" Type="http://schemas.openxmlformats.org/officeDocument/2006/relationships/chartsheet" Target="chartsheets/sheet100.xml"/><Relationship Id="rId215" Type="http://schemas.openxmlformats.org/officeDocument/2006/relationships/worksheet" Target="worksheets/sheet97.xml"/><Relationship Id="rId236" Type="http://schemas.openxmlformats.org/officeDocument/2006/relationships/chartsheet" Target="chartsheets/sheet133.xml"/><Relationship Id="rId257" Type="http://schemas.openxmlformats.org/officeDocument/2006/relationships/chartsheet" Target="chartsheets/sheet148.xml"/><Relationship Id="rId278" Type="http://schemas.openxmlformats.org/officeDocument/2006/relationships/chartsheet" Target="chartsheets/sheet162.xml"/><Relationship Id="rId401" Type="http://schemas.openxmlformats.org/officeDocument/2006/relationships/worksheet" Target="worksheets/sheet161.xml"/><Relationship Id="rId422" Type="http://schemas.openxmlformats.org/officeDocument/2006/relationships/worksheet" Target="worksheets/sheet174.xml"/><Relationship Id="rId303" Type="http://schemas.openxmlformats.org/officeDocument/2006/relationships/worksheet" Target="worksheets/sheet125.xml"/><Relationship Id="rId42" Type="http://schemas.openxmlformats.org/officeDocument/2006/relationships/worksheet" Target="worksheets/sheet38.xml"/><Relationship Id="rId84" Type="http://schemas.openxmlformats.org/officeDocument/2006/relationships/worksheet" Target="worksheets/sheet50.xml"/><Relationship Id="rId138" Type="http://schemas.openxmlformats.org/officeDocument/2006/relationships/worksheet" Target="worksheets/sheet68.xml"/><Relationship Id="rId345" Type="http://schemas.openxmlformats.org/officeDocument/2006/relationships/worksheet" Target="worksheets/sheet139.xml"/><Relationship Id="rId387" Type="http://schemas.openxmlformats.org/officeDocument/2006/relationships/chartsheet" Target="chartsheets/sheet235.xml"/><Relationship Id="rId191" Type="http://schemas.openxmlformats.org/officeDocument/2006/relationships/chartsheet" Target="chartsheets/sheet107.xml"/><Relationship Id="rId205" Type="http://schemas.openxmlformats.org/officeDocument/2006/relationships/chartsheet" Target="chartsheets/sheet114.xml"/><Relationship Id="rId247" Type="http://schemas.openxmlformats.org/officeDocument/2006/relationships/worksheet" Target="worksheets/sheet105.xml"/><Relationship Id="rId412" Type="http://schemas.openxmlformats.org/officeDocument/2006/relationships/worksheet" Target="worksheets/sheet164.xml"/><Relationship Id="rId107" Type="http://schemas.openxmlformats.org/officeDocument/2006/relationships/worksheet" Target="worksheets/sheet57.xml"/><Relationship Id="rId289" Type="http://schemas.openxmlformats.org/officeDocument/2006/relationships/chartsheet" Target="chartsheets/sheet169.xml"/><Relationship Id="rId11" Type="http://schemas.openxmlformats.org/officeDocument/2006/relationships/worksheet" Target="worksheets/sheet11.xml"/><Relationship Id="rId53" Type="http://schemas.openxmlformats.org/officeDocument/2006/relationships/chartsheet" Target="chartsheets/sheet14.xml"/><Relationship Id="rId149" Type="http://schemas.openxmlformats.org/officeDocument/2006/relationships/chartsheet" Target="chartsheets/sheet77.xml"/><Relationship Id="rId314" Type="http://schemas.openxmlformats.org/officeDocument/2006/relationships/chartsheet" Target="chartsheets/sheet186.xml"/><Relationship Id="rId356" Type="http://schemas.openxmlformats.org/officeDocument/2006/relationships/worksheet" Target="worksheets/sheet142.xml"/><Relationship Id="rId398" Type="http://schemas.openxmlformats.org/officeDocument/2006/relationships/worksheet" Target="worksheets/sheet160.xml"/><Relationship Id="rId95" Type="http://schemas.openxmlformats.org/officeDocument/2006/relationships/chartsheet" Target="chartsheets/sheet42.xml"/><Relationship Id="rId160" Type="http://schemas.openxmlformats.org/officeDocument/2006/relationships/chartsheet" Target="chartsheets/sheet84.xml"/><Relationship Id="rId216" Type="http://schemas.openxmlformats.org/officeDocument/2006/relationships/chartsheet" Target="chartsheets/sheet119.xml"/><Relationship Id="rId423" Type="http://schemas.openxmlformats.org/officeDocument/2006/relationships/worksheet" Target="worksheets/sheet175.xml"/><Relationship Id="rId258" Type="http://schemas.openxmlformats.org/officeDocument/2006/relationships/worksheet" Target="worksheets/sheet110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44.xml"/><Relationship Id="rId118" Type="http://schemas.openxmlformats.org/officeDocument/2006/relationships/chartsheet" Target="chartsheets/sheet58.xml"/><Relationship Id="rId325" Type="http://schemas.openxmlformats.org/officeDocument/2006/relationships/chartsheet" Target="chartsheets/sheet194.xml"/><Relationship Id="rId367" Type="http://schemas.openxmlformats.org/officeDocument/2006/relationships/chartsheet" Target="chartsheets/sheet221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by woodland type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1'!$B$13:$B$14</c:f>
              <c:strCache>
                <c:ptCount val="2"/>
                <c:pt idx="0">
                  <c:v>Woodland land cover</c:v>
                </c:pt>
                <c:pt idx="1">
                  <c:v>Non-woodland land cover</c:v>
                </c:pt>
              </c:strCache>
            </c:strRef>
          </c:cat>
          <c:val>
            <c:numRef>
              <c:f>'Table 1'!$D$13:$D$14</c:f>
              <c:numCache>
                <c:formatCode>0%</c:formatCode>
                <c:ptCount val="2"/>
                <c:pt idx="0">
                  <c:v>9.9606911036629567E-2</c:v>
                </c:pt>
                <c:pt idx="1">
                  <c:v>0.90039308896337045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9EB074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7FE3E3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rgbClr val="80D98D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739C9B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43996C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D7D97E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91E3BB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7FB59F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CFD49F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75DB91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60AB61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85B569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7C996D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8BC4C0"/>
              </a:solidFill>
              <a:ln>
                <a:solidFill>
                  <a:schemeClr val="bg1"/>
                </a:solidFill>
              </a:ln>
            </c:spPr>
          </c:dPt>
          <c:dLbls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3'!$G$8:$G$21</c:f>
              <c:numCache>
                <c:formatCode>#,##0</c:formatCode>
                <c:ptCount val="14"/>
                <c:pt idx="0">
                  <c:v>88219.762657770407</c:v>
                </c:pt>
                <c:pt idx="1">
                  <c:v>111777.13630338205</c:v>
                </c:pt>
                <c:pt idx="2">
                  <c:v>132939.83507470132</c:v>
                </c:pt>
                <c:pt idx="3">
                  <c:v>56483.157629908012</c:v>
                </c:pt>
                <c:pt idx="4">
                  <c:v>29449.692692504963</c:v>
                </c:pt>
                <c:pt idx="5">
                  <c:v>35171.526755349289</c:v>
                </c:pt>
                <c:pt idx="6">
                  <c:v>103265.27677174045</c:v>
                </c:pt>
                <c:pt idx="7">
                  <c:v>50113.990958361159</c:v>
                </c:pt>
                <c:pt idx="8">
                  <c:v>116129.85117915661</c:v>
                </c:pt>
                <c:pt idx="9">
                  <c:v>120885.63554048826</c:v>
                </c:pt>
                <c:pt idx="10">
                  <c:v>97243.9751786446</c:v>
                </c:pt>
                <c:pt idx="11">
                  <c:v>105008.94606982129</c:v>
                </c:pt>
                <c:pt idx="12">
                  <c:v>140664.15780331078</c:v>
                </c:pt>
                <c:pt idx="13">
                  <c:v>110312.64314683444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95966907962769E-2"/>
          <c:y val="0.11355932203389831"/>
          <c:w val="0.73319544984488105"/>
          <c:h val="0.628813559322033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distance data'!$C$15</c:f>
              <c:strCache>
                <c:ptCount val="1"/>
                <c:pt idx="0">
                  <c:v>&lt; 200m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data'!$C$16:$C$20</c:f>
              <c:numCache>
                <c:formatCode>0.0%</c:formatCode>
                <c:ptCount val="5"/>
                <c:pt idx="0">
                  <c:v>0.60615091946734301</c:v>
                </c:pt>
                <c:pt idx="1">
                  <c:v>0.60028585040495475</c:v>
                </c:pt>
                <c:pt idx="2">
                  <c:v>0.56151142355008787</c:v>
                </c:pt>
                <c:pt idx="3">
                  <c:v>0.63885025498377379</c:v>
                </c:pt>
                <c:pt idx="4">
                  <c:v>0.60893493039818714</c:v>
                </c:pt>
              </c:numCache>
            </c:numRef>
          </c:val>
        </c:ser>
        <c:ser>
          <c:idx val="1"/>
          <c:order val="1"/>
          <c:tx>
            <c:strRef>
              <c:f>'Road distance data'!$D$15</c:f>
              <c:strCache>
                <c:ptCount val="1"/>
                <c:pt idx="0">
                  <c:v>200m - 400m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data'!$D$16:$D$20</c:f>
              <c:numCache>
                <c:formatCode>0.0%</c:formatCode>
                <c:ptCount val="5"/>
                <c:pt idx="0">
                  <c:v>0.21280913126188966</c:v>
                </c:pt>
                <c:pt idx="1">
                  <c:v>0.22883912974432269</c:v>
                </c:pt>
                <c:pt idx="2">
                  <c:v>0.14411247803163443</c:v>
                </c:pt>
                <c:pt idx="3">
                  <c:v>0.20074177097821047</c:v>
                </c:pt>
                <c:pt idx="4">
                  <c:v>0.21333764972483005</c:v>
                </c:pt>
              </c:numCache>
            </c:numRef>
          </c:val>
        </c:ser>
        <c:ser>
          <c:idx val="2"/>
          <c:order val="2"/>
          <c:tx>
            <c:strRef>
              <c:f>'Road distance data'!$E$15</c:f>
              <c:strCache>
                <c:ptCount val="1"/>
                <c:pt idx="0">
                  <c:v>400m - 600m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data'!$E$16:$E$20</c:f>
              <c:numCache>
                <c:formatCode>0.0%</c:formatCode>
                <c:ptCount val="5"/>
                <c:pt idx="0">
                  <c:v>0.10919467343056437</c:v>
                </c:pt>
                <c:pt idx="1">
                  <c:v>0.10592345561378434</c:v>
                </c:pt>
                <c:pt idx="2">
                  <c:v>0.19420035149384884</c:v>
                </c:pt>
                <c:pt idx="3">
                  <c:v>7.8349559573481692E-2</c:v>
                </c:pt>
                <c:pt idx="4">
                  <c:v>0.1076400129491745</c:v>
                </c:pt>
              </c:numCache>
            </c:numRef>
          </c:val>
        </c:ser>
        <c:ser>
          <c:idx val="3"/>
          <c:order val="3"/>
          <c:tx>
            <c:strRef>
              <c:f>'Road distance data'!$F$15</c:f>
              <c:strCache>
                <c:ptCount val="1"/>
                <c:pt idx="0">
                  <c:v>600m - 800m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data'!$F$16:$F$20</c:f>
              <c:numCache>
                <c:formatCode>0.0%</c:formatCode>
                <c:ptCount val="5"/>
                <c:pt idx="0">
                  <c:v>4.1280913126188964E-2</c:v>
                </c:pt>
                <c:pt idx="1">
                  <c:v>3.9701445132602826E-2</c:v>
                </c:pt>
                <c:pt idx="2">
                  <c:v>6.0632688927943761E-2</c:v>
                </c:pt>
                <c:pt idx="3">
                  <c:v>3.8479369494668521E-2</c:v>
                </c:pt>
                <c:pt idx="4">
                  <c:v>4.0304305600517967E-2</c:v>
                </c:pt>
              </c:numCache>
            </c:numRef>
          </c:val>
        </c:ser>
        <c:ser>
          <c:idx val="4"/>
          <c:order val="4"/>
          <c:tx>
            <c:strRef>
              <c:f>'Road distance data'!$G$15</c:f>
              <c:strCache>
                <c:ptCount val="1"/>
                <c:pt idx="0">
                  <c:v>800m - 1000m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data'!$G$16:$G$20</c:f>
              <c:numCache>
                <c:formatCode>0.0%</c:formatCode>
                <c:ptCount val="5"/>
                <c:pt idx="0">
                  <c:v>1.4774889029803425E-2</c:v>
                </c:pt>
                <c:pt idx="1">
                  <c:v>1.3498491345084962E-2</c:v>
                </c:pt>
                <c:pt idx="2">
                  <c:v>1.4938488576449912E-2</c:v>
                </c:pt>
                <c:pt idx="3">
                  <c:v>1.8080667593880391E-2</c:v>
                </c:pt>
                <c:pt idx="4">
                  <c:v>1.4891550663645193E-2</c:v>
                </c:pt>
              </c:numCache>
            </c:numRef>
          </c:val>
        </c:ser>
        <c:ser>
          <c:idx val="5"/>
          <c:order val="5"/>
          <c:tx>
            <c:strRef>
              <c:f>'Road distance data'!$H$15</c:f>
              <c:strCache>
                <c:ptCount val="1"/>
                <c:pt idx="0">
                  <c:v>&gt;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data'!$H$16:$H$20</c:f>
              <c:numCache>
                <c:formatCode>0.0%</c:formatCode>
                <c:ptCount val="5"/>
                <c:pt idx="0">
                  <c:v>1.5789473684210527E-2</c:v>
                </c:pt>
                <c:pt idx="1">
                  <c:v>1.1751627759250437E-2</c:v>
                </c:pt>
                <c:pt idx="2">
                  <c:v>2.4604569420035149E-2</c:v>
                </c:pt>
                <c:pt idx="3">
                  <c:v>2.5498377375985166E-2</c:v>
                </c:pt>
                <c:pt idx="4">
                  <c:v>1.4891550663645193E-2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6427648"/>
        <c:axId val="186441728"/>
      </c:barChart>
      <c:catAx>
        <c:axId val="18642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441728"/>
        <c:crosses val="autoZero"/>
        <c:auto val="1"/>
        <c:lblAlgn val="ctr"/>
        <c:lblOffset val="100"/>
        <c:noMultiLvlLbl val="0"/>
      </c:catAx>
      <c:valAx>
        <c:axId val="186441728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section of type on the private sector estate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642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00620475698035"/>
          <c:y val="0.26101694915254237"/>
          <c:w val="0.16132368148914167"/>
          <c:h val="0.38813559322033897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Road or ride in survey square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8831437435366E-2"/>
          <c:y val="0.10169491525423729"/>
          <c:w val="0.86246122026887284"/>
          <c:h val="0.838983050847457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data'!$C$13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074F28"/>
            </a:solidFill>
            <a:ln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3B9946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1B4E83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E32E30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data'!$F$13,'Road data'!$F$16,'Road data'!$F$19,'Road data'!$F$22)</c:f>
              <c:numCache>
                <c:formatCode>#,##0.00</c:formatCode>
                <c:ptCount val="4"/>
                <c:pt idx="0">
                  <c:v>24.759945230577692</c:v>
                </c:pt>
                <c:pt idx="1">
                  <c:v>15.67436838356508</c:v>
                </c:pt>
                <c:pt idx="2">
                  <c:v>28.069534035996945</c:v>
                </c:pt>
                <c:pt idx="3">
                  <c:v>25.325436780768921</c:v>
                </c:pt>
              </c:numCache>
            </c:numRef>
          </c:val>
        </c:ser>
        <c:ser>
          <c:idx val="1"/>
          <c:order val="1"/>
          <c:tx>
            <c:strRef>
              <c:f>'Road data'!$C$14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80B79E"/>
            </a:solidFill>
            <a:ln>
              <a:solidFill>
                <a:schemeClr val="bg1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F19698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data'!$F$14,'Road data'!$F$17,'Road data'!$F$20,'Road data'!$F$23)</c:f>
              <c:numCache>
                <c:formatCode>#,##0.00</c:formatCode>
                <c:ptCount val="4"/>
                <c:pt idx="0">
                  <c:v>75.240054769422301</c:v>
                </c:pt>
                <c:pt idx="1">
                  <c:v>84.325631616434919</c:v>
                </c:pt>
                <c:pt idx="2">
                  <c:v>71.930465964003048</c:v>
                </c:pt>
                <c:pt idx="3">
                  <c:v>74.674563219231089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6477952"/>
        <c:axId val="186479744"/>
      </c:barChart>
      <c:catAx>
        <c:axId val="1864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squares with section of type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477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725956566701142"/>
          <c:y val="0.48474576271186443"/>
          <c:w val="4.1365046535677408E-2"/>
          <c:h val="9.491525423728808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88831437435366E-2"/>
          <c:y val="0.10169491525423729"/>
          <c:w val="0.86246122026887284"/>
          <c:h val="0.838983050847457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data'!$C$13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074F28"/>
            </a:solidFill>
            <a:ln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3B9946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1B4E83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E32E30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data'!$F$13,'Road data'!$F$16,'Road data'!$F$19,'Road data'!$F$22)</c:f>
              <c:numCache>
                <c:formatCode>#,##0.00</c:formatCode>
                <c:ptCount val="4"/>
                <c:pt idx="0">
                  <c:v>24.759945230577692</c:v>
                </c:pt>
                <c:pt idx="1">
                  <c:v>15.67436838356508</c:v>
                </c:pt>
                <c:pt idx="2">
                  <c:v>28.069534035996945</c:v>
                </c:pt>
                <c:pt idx="3">
                  <c:v>25.325436780768921</c:v>
                </c:pt>
              </c:numCache>
            </c:numRef>
          </c:val>
        </c:ser>
        <c:ser>
          <c:idx val="1"/>
          <c:order val="1"/>
          <c:tx>
            <c:strRef>
              <c:f>'Road data'!$C$14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80B79E"/>
            </a:solidFill>
            <a:ln>
              <a:solidFill>
                <a:schemeClr val="bg1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F19698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data'!$F$14,'Road data'!$F$17,'Road data'!$F$20,'Road data'!$F$23)</c:f>
              <c:numCache>
                <c:formatCode>#,##0.00</c:formatCode>
                <c:ptCount val="4"/>
                <c:pt idx="0">
                  <c:v>75.240054769422301</c:v>
                </c:pt>
                <c:pt idx="1">
                  <c:v>84.325631616434919</c:v>
                </c:pt>
                <c:pt idx="2">
                  <c:v>71.930465964003048</c:v>
                </c:pt>
                <c:pt idx="3">
                  <c:v>74.674563219231089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5640064"/>
        <c:axId val="185641600"/>
      </c:barChart>
      <c:catAx>
        <c:axId val="1856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5641600"/>
        <c:crosses val="autoZero"/>
        <c:auto val="1"/>
        <c:lblAlgn val="ctr"/>
        <c:lblOffset val="100"/>
        <c:noMultiLvlLbl val="0"/>
      </c:catAx>
      <c:valAx>
        <c:axId val="18564160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squares with section of type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564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74608364393328"/>
          <c:y val="0.48474576271186443"/>
          <c:w val="7.6878616757718038E-2"/>
          <c:h val="9.4915254237288083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Type of road or ride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49948293691834E-2"/>
          <c:y val="0.20338983050847459"/>
          <c:w val="0.86659772492244058"/>
          <c:h val="0.49491525423728816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'Road data'!$C$25</c:f>
              <c:strCache>
                <c:ptCount val="1"/>
                <c:pt idx="0">
                  <c:v>Type of road or ride</c:v>
                </c:pt>
              </c:strCache>
            </c:strRef>
          </c:tx>
          <c:spPr>
            <a:solidFill>
              <a:srgbClr val="80B79E"/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9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0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1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2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3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4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6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7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8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9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0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1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2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6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19698"/>
              </a:solidFill>
            </c:spPr>
          </c:dPt>
          <c:cat>
            <c:strRef>
              <c:f>'Road data'!$C$26:$C$56</c:f>
              <c:strCache>
                <c:ptCount val="31"/>
                <c:pt idx="0">
                  <c:v>Public road</c:v>
                </c:pt>
                <c:pt idx="1">
                  <c:v>Forest road sealed</c:v>
                </c:pt>
                <c:pt idx="2">
                  <c:v>Forest road unsealed</c:v>
                </c:pt>
                <c:pt idx="3">
                  <c:v>Ride sealed</c:v>
                </c:pt>
                <c:pt idx="4">
                  <c:v>Ride unsurfaced</c:v>
                </c:pt>
                <c:pt idx="5">
                  <c:v>Extraction track</c:v>
                </c:pt>
                <c:pt idx="6">
                  <c:v>Extraction track dozed</c:v>
                </c:pt>
                <c:pt idx="8">
                  <c:v>Public road</c:v>
                </c:pt>
                <c:pt idx="9">
                  <c:v>Forest road sealed</c:v>
                </c:pt>
                <c:pt idx="10">
                  <c:v>Forest road unsealed</c:v>
                </c:pt>
                <c:pt idx="11">
                  <c:v>Ride sealed</c:v>
                </c:pt>
                <c:pt idx="12">
                  <c:v>Ride unsurfaced</c:v>
                </c:pt>
                <c:pt idx="13">
                  <c:v>Extraction track</c:v>
                </c:pt>
                <c:pt idx="14">
                  <c:v>Extraction track dozed</c:v>
                </c:pt>
                <c:pt idx="16">
                  <c:v>Public road</c:v>
                </c:pt>
                <c:pt idx="17">
                  <c:v>Forest road sealed</c:v>
                </c:pt>
                <c:pt idx="18">
                  <c:v>Forest road unsealed</c:v>
                </c:pt>
                <c:pt idx="19">
                  <c:v>Ride sealed</c:v>
                </c:pt>
                <c:pt idx="20">
                  <c:v>Ride unsurfaced</c:v>
                </c:pt>
                <c:pt idx="21">
                  <c:v>Extraction track</c:v>
                </c:pt>
                <c:pt idx="22">
                  <c:v>Extraction track dozed</c:v>
                </c:pt>
                <c:pt idx="24">
                  <c:v>Public road</c:v>
                </c:pt>
                <c:pt idx="25">
                  <c:v>Forest road sealed</c:v>
                </c:pt>
                <c:pt idx="26">
                  <c:v>Forest road unsealed</c:v>
                </c:pt>
                <c:pt idx="27">
                  <c:v>Ride sealed</c:v>
                </c:pt>
                <c:pt idx="28">
                  <c:v>Ride unsurfaced</c:v>
                </c:pt>
                <c:pt idx="29">
                  <c:v>Extraction track</c:v>
                </c:pt>
                <c:pt idx="30">
                  <c:v>Extraction track dozed</c:v>
                </c:pt>
              </c:strCache>
            </c:strRef>
          </c:cat>
          <c:val>
            <c:numRef>
              <c:f>'Road data'!$F$26:$F$56</c:f>
              <c:numCache>
                <c:formatCode>#,##0.00</c:formatCode>
                <c:ptCount val="31"/>
                <c:pt idx="0">
                  <c:v>10.862208448739219</c:v>
                </c:pt>
                <c:pt idx="1">
                  <c:v>2.6799785558552003</c:v>
                </c:pt>
                <c:pt idx="2">
                  <c:v>8.2773576880753108</c:v>
                </c:pt>
                <c:pt idx="3">
                  <c:v>0.34943328755452879</c:v>
                </c:pt>
                <c:pt idx="4">
                  <c:v>5.4672321341671939</c:v>
                </c:pt>
                <c:pt idx="5">
                  <c:v>0.49968250463452091</c:v>
                </c:pt>
                <c:pt idx="6">
                  <c:v>4.5954172315110578E-2</c:v>
                </c:pt>
                <c:pt idx="8">
                  <c:v>4.145773608998879</c:v>
                </c:pt>
                <c:pt idx="9">
                  <c:v>1.2876041307917836</c:v>
                </c:pt>
                <c:pt idx="10">
                  <c:v>7.4404233080422308</c:v>
                </c:pt>
                <c:pt idx="11">
                  <c:v>0</c:v>
                </c:pt>
                <c:pt idx="12">
                  <c:v>3.5048881266582619</c:v>
                </c:pt>
                <c:pt idx="13">
                  <c:v>1.1923241637527475</c:v>
                </c:pt>
                <c:pt idx="14">
                  <c:v>7.6485492828307161E-2</c:v>
                </c:pt>
                <c:pt idx="16">
                  <c:v>10.340890757248147</c:v>
                </c:pt>
                <c:pt idx="17">
                  <c:v>3.3570760677079732</c:v>
                </c:pt>
                <c:pt idx="18">
                  <c:v>10.546985584794685</c:v>
                </c:pt>
                <c:pt idx="19">
                  <c:v>0.35421947066222104</c:v>
                </c:pt>
                <c:pt idx="20">
                  <c:v>5.6962845386479604</c:v>
                </c:pt>
                <c:pt idx="21">
                  <c:v>1.203439186553438</c:v>
                </c:pt>
                <c:pt idx="22">
                  <c:v>0.23863437164162651</c:v>
                </c:pt>
                <c:pt idx="24">
                  <c:v>12.34262015504879</c:v>
                </c:pt>
                <c:pt idx="25">
                  <c:v>3.061869241503421</c:v>
                </c:pt>
                <c:pt idx="26">
                  <c:v>8.0929180621652321</c:v>
                </c:pt>
                <c:pt idx="27">
                  <c:v>0.32119179112439045</c:v>
                </c:pt>
                <c:pt idx="28">
                  <c:v>4.4657348668714629</c:v>
                </c:pt>
                <c:pt idx="29">
                  <c:v>0.44272783629124046</c:v>
                </c:pt>
                <c:pt idx="30">
                  <c:v>3.0888226075527027E-2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774080"/>
        <c:axId val="185775616"/>
      </c:barChart>
      <c:catAx>
        <c:axId val="1857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775616"/>
        <c:crosses val="autoZero"/>
        <c:auto val="1"/>
        <c:lblAlgn val="ctr"/>
        <c:lblOffset val="100"/>
        <c:noMultiLvlLbl val="0"/>
      </c:catAx>
      <c:valAx>
        <c:axId val="1857756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survey squares of type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774080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49948293691834E-2"/>
          <c:y val="7.1505690415798254E-2"/>
          <c:w val="0.86659772492244058"/>
          <c:h val="0.56399731517604657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'Road data'!$C$25</c:f>
              <c:strCache>
                <c:ptCount val="1"/>
                <c:pt idx="0">
                  <c:v>Type of road or ride</c:v>
                </c:pt>
              </c:strCache>
            </c:strRef>
          </c:tx>
          <c:spPr>
            <a:solidFill>
              <a:srgbClr val="80B79E"/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9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0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1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2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3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4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6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7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8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9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0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1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2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6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19698"/>
              </a:solidFill>
            </c:spPr>
          </c:dPt>
          <c:cat>
            <c:strRef>
              <c:f>'Road data'!$C$26:$C$56</c:f>
              <c:strCache>
                <c:ptCount val="31"/>
                <c:pt idx="0">
                  <c:v>Public road</c:v>
                </c:pt>
                <c:pt idx="1">
                  <c:v>Forest road sealed</c:v>
                </c:pt>
                <c:pt idx="2">
                  <c:v>Forest road unsealed</c:v>
                </c:pt>
                <c:pt idx="3">
                  <c:v>Ride sealed</c:v>
                </c:pt>
                <c:pt idx="4">
                  <c:v>Ride unsurfaced</c:v>
                </c:pt>
                <c:pt idx="5">
                  <c:v>Extraction track</c:v>
                </c:pt>
                <c:pt idx="6">
                  <c:v>Extraction track dozed</c:v>
                </c:pt>
                <c:pt idx="8">
                  <c:v>Public road</c:v>
                </c:pt>
                <c:pt idx="9">
                  <c:v>Forest road sealed</c:v>
                </c:pt>
                <c:pt idx="10">
                  <c:v>Forest road unsealed</c:v>
                </c:pt>
                <c:pt idx="11">
                  <c:v>Ride sealed</c:v>
                </c:pt>
                <c:pt idx="12">
                  <c:v>Ride unsurfaced</c:v>
                </c:pt>
                <c:pt idx="13">
                  <c:v>Extraction track</c:v>
                </c:pt>
                <c:pt idx="14">
                  <c:v>Extraction track dozed</c:v>
                </c:pt>
                <c:pt idx="16">
                  <c:v>Public road</c:v>
                </c:pt>
                <c:pt idx="17">
                  <c:v>Forest road sealed</c:v>
                </c:pt>
                <c:pt idx="18">
                  <c:v>Forest road unsealed</c:v>
                </c:pt>
                <c:pt idx="19">
                  <c:v>Ride sealed</c:v>
                </c:pt>
                <c:pt idx="20">
                  <c:v>Ride unsurfaced</c:v>
                </c:pt>
                <c:pt idx="21">
                  <c:v>Extraction track</c:v>
                </c:pt>
                <c:pt idx="22">
                  <c:v>Extraction track dozed</c:v>
                </c:pt>
                <c:pt idx="24">
                  <c:v>Public road</c:v>
                </c:pt>
                <c:pt idx="25">
                  <c:v>Forest road sealed</c:v>
                </c:pt>
                <c:pt idx="26">
                  <c:v>Forest road unsealed</c:v>
                </c:pt>
                <c:pt idx="27">
                  <c:v>Ride sealed</c:v>
                </c:pt>
                <c:pt idx="28">
                  <c:v>Ride unsurfaced</c:v>
                </c:pt>
                <c:pt idx="29">
                  <c:v>Extraction track</c:v>
                </c:pt>
                <c:pt idx="30">
                  <c:v>Extraction track dozed</c:v>
                </c:pt>
              </c:strCache>
            </c:strRef>
          </c:cat>
          <c:val>
            <c:numRef>
              <c:f>'Road data'!$F$26:$F$56</c:f>
              <c:numCache>
                <c:formatCode>#,##0.00</c:formatCode>
                <c:ptCount val="31"/>
                <c:pt idx="0">
                  <c:v>10.862208448739219</c:v>
                </c:pt>
                <c:pt idx="1">
                  <c:v>2.6799785558552003</c:v>
                </c:pt>
                <c:pt idx="2">
                  <c:v>8.2773576880753108</c:v>
                </c:pt>
                <c:pt idx="3">
                  <c:v>0.34943328755452879</c:v>
                </c:pt>
                <c:pt idx="4">
                  <c:v>5.4672321341671939</c:v>
                </c:pt>
                <c:pt idx="5">
                  <c:v>0.49968250463452091</c:v>
                </c:pt>
                <c:pt idx="6">
                  <c:v>4.5954172315110578E-2</c:v>
                </c:pt>
                <c:pt idx="8">
                  <c:v>4.145773608998879</c:v>
                </c:pt>
                <c:pt idx="9">
                  <c:v>1.2876041307917836</c:v>
                </c:pt>
                <c:pt idx="10">
                  <c:v>7.4404233080422308</c:v>
                </c:pt>
                <c:pt idx="11">
                  <c:v>0</c:v>
                </c:pt>
                <c:pt idx="12">
                  <c:v>3.5048881266582619</c:v>
                </c:pt>
                <c:pt idx="13">
                  <c:v>1.1923241637527475</c:v>
                </c:pt>
                <c:pt idx="14">
                  <c:v>7.6485492828307161E-2</c:v>
                </c:pt>
                <c:pt idx="16">
                  <c:v>10.340890757248147</c:v>
                </c:pt>
                <c:pt idx="17">
                  <c:v>3.3570760677079732</c:v>
                </c:pt>
                <c:pt idx="18">
                  <c:v>10.546985584794685</c:v>
                </c:pt>
                <c:pt idx="19">
                  <c:v>0.35421947066222104</c:v>
                </c:pt>
                <c:pt idx="20">
                  <c:v>5.6962845386479604</c:v>
                </c:pt>
                <c:pt idx="21">
                  <c:v>1.203439186553438</c:v>
                </c:pt>
                <c:pt idx="22">
                  <c:v>0.23863437164162651</c:v>
                </c:pt>
                <c:pt idx="24">
                  <c:v>12.34262015504879</c:v>
                </c:pt>
                <c:pt idx="25">
                  <c:v>3.061869241503421</c:v>
                </c:pt>
                <c:pt idx="26">
                  <c:v>8.0929180621652321</c:v>
                </c:pt>
                <c:pt idx="27">
                  <c:v>0.32119179112439045</c:v>
                </c:pt>
                <c:pt idx="28">
                  <c:v>4.4657348668714629</c:v>
                </c:pt>
                <c:pt idx="29">
                  <c:v>0.44272783629124046</c:v>
                </c:pt>
                <c:pt idx="30">
                  <c:v>3.0888226075527027E-2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6540032"/>
        <c:axId val="186541568"/>
      </c:barChart>
      <c:catAx>
        <c:axId val="1865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541568"/>
        <c:crosses val="autoZero"/>
        <c:auto val="1"/>
        <c:lblAlgn val="ctr"/>
        <c:lblOffset val="100"/>
        <c:noMultiLvlLbl val="0"/>
      </c:catAx>
      <c:valAx>
        <c:axId val="186541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survey squares of type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654003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Mean</a:t>
            </a:r>
            <a:r>
              <a:rPr lang="en-US" baseline="0"/>
              <a:t> yield class weighted by area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'Yield class data'!$D$4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data'!$D$5:$D$26</c:f>
              <c:numCache>
                <c:formatCode>#,##0.0</c:formatCode>
                <c:ptCount val="22"/>
                <c:pt idx="0">
                  <c:v>11.045034949629926</c:v>
                </c:pt>
                <c:pt idx="1">
                  <c:v>13.044268325233663</c:v>
                </c:pt>
                <c:pt idx="2">
                  <c:v>5.2318922165102721</c:v>
                </c:pt>
                <c:pt idx="3">
                  <c:v>13.514506329124355</c:v>
                </c:pt>
                <c:pt idx="4">
                  <c:v>10.362197277902331</c:v>
                </c:pt>
                <c:pt idx="5">
                  <c:v>14.343541729603185</c:v>
                </c:pt>
                <c:pt idx="6">
                  <c:v>12.769317962184415</c:v>
                </c:pt>
                <c:pt idx="7">
                  <c:v>10.30154975964239</c:v>
                </c:pt>
                <c:pt idx="8">
                  <c:v>16.73903647051133</c:v>
                </c:pt>
                <c:pt idx="9">
                  <c:v>6.7453544139905546</c:v>
                </c:pt>
                <c:pt idx="10">
                  <c:v>14.821718971963435</c:v>
                </c:pt>
                <c:pt idx="11">
                  <c:v>4.7051078868132876</c:v>
                </c:pt>
                <c:pt idx="12">
                  <c:v>6.6503075503131903</c:v>
                </c:pt>
                <c:pt idx="13">
                  <c:v>5.9036895990286169</c:v>
                </c:pt>
                <c:pt idx="14">
                  <c:v>5.733817597780658</c:v>
                </c:pt>
                <c:pt idx="15">
                  <c:v>4.4622479396808705</c:v>
                </c:pt>
                <c:pt idx="16">
                  <c:v>6.8301493103541713</c:v>
                </c:pt>
                <c:pt idx="17">
                  <c:v>3.8495670349358013</c:v>
                </c:pt>
                <c:pt idx="18">
                  <c:v>4.5565217391304351</c:v>
                </c:pt>
                <c:pt idx="19">
                  <c:v>4.6800867141529876</c:v>
                </c:pt>
                <c:pt idx="20">
                  <c:v>3.5903540903540905</c:v>
                </c:pt>
                <c:pt idx="21">
                  <c:v>4.4233913507564884</c:v>
                </c:pt>
              </c:numCache>
            </c:numRef>
          </c:val>
        </c:ser>
        <c:ser>
          <c:idx val="1"/>
          <c:order val="1"/>
          <c:tx>
            <c:strRef>
              <c:f>'Yield class data'!$E$4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data'!$E$5:$E$26</c:f>
              <c:numCache>
                <c:formatCode>#,##0.0</c:formatCode>
                <c:ptCount val="22"/>
                <c:pt idx="0">
                  <c:v>6.7821178522797743</c:v>
                </c:pt>
                <c:pt idx="1">
                  <c:v>12.097313229681227</c:v>
                </c:pt>
                <c:pt idx="2">
                  <c:v>5.4403385550232199</c:v>
                </c:pt>
                <c:pt idx="3">
                  <c:v>15.000070338806143</c:v>
                </c:pt>
                <c:pt idx="4">
                  <c:v>10.510925319636881</c:v>
                </c:pt>
                <c:pt idx="5">
                  <c:v>12.527813978747838</c:v>
                </c:pt>
                <c:pt idx="6">
                  <c:v>14.402407063883537</c:v>
                </c:pt>
                <c:pt idx="7">
                  <c:v>9.9642887259787862</c:v>
                </c:pt>
                <c:pt idx="8">
                  <c:v>12.737838012819129</c:v>
                </c:pt>
                <c:pt idx="9">
                  <c:v>8.0918227090945507</c:v>
                </c:pt>
                <c:pt idx="10">
                  <c:v>12.31541535093983</c:v>
                </c:pt>
                <c:pt idx="11">
                  <c:v>4.9619961010167568</c:v>
                </c:pt>
                <c:pt idx="12">
                  <c:v>6.74727397166654</c:v>
                </c:pt>
                <c:pt idx="13">
                  <c:v>6.4445408862964282</c:v>
                </c:pt>
                <c:pt idx="14">
                  <c:v>7.1728706444794401</c:v>
                </c:pt>
                <c:pt idx="15">
                  <c:v>5.6881561483034826</c:v>
                </c:pt>
                <c:pt idx="16">
                  <c:v>6.8527875647092324</c:v>
                </c:pt>
                <c:pt idx="17">
                  <c:v>2.4578632598288617</c:v>
                </c:pt>
                <c:pt idx="18">
                  <c:v>3.1411659630863871</c:v>
                </c:pt>
                <c:pt idx="19">
                  <c:v>5.3390297480223188</c:v>
                </c:pt>
                <c:pt idx="20">
                  <c:v>4.934940634184164</c:v>
                </c:pt>
                <c:pt idx="21">
                  <c:v>5.0949881916157844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86590720"/>
        <c:axId val="186592256"/>
      </c:barChart>
      <c:catAx>
        <c:axId val="186590720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6592256"/>
        <c:crosses val="autoZero"/>
        <c:auto val="1"/>
        <c:lblAlgn val="ctr"/>
        <c:lblOffset val="100"/>
        <c:noMultiLvlLbl val="0"/>
      </c:catAx>
      <c:valAx>
        <c:axId val="186592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 class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86590720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'Yield class data'!$D$4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data'!$D$5:$D$26</c:f>
              <c:numCache>
                <c:formatCode>#,##0.0</c:formatCode>
                <c:ptCount val="22"/>
                <c:pt idx="0">
                  <c:v>11.045034949629926</c:v>
                </c:pt>
                <c:pt idx="1">
                  <c:v>13.044268325233663</c:v>
                </c:pt>
                <c:pt idx="2">
                  <c:v>5.2318922165102721</c:v>
                </c:pt>
                <c:pt idx="3">
                  <c:v>13.514506329124355</c:v>
                </c:pt>
                <c:pt idx="4">
                  <c:v>10.362197277902331</c:v>
                </c:pt>
                <c:pt idx="5">
                  <c:v>14.343541729603185</c:v>
                </c:pt>
                <c:pt idx="6">
                  <c:v>12.769317962184415</c:v>
                </c:pt>
                <c:pt idx="7">
                  <c:v>10.30154975964239</c:v>
                </c:pt>
                <c:pt idx="8">
                  <c:v>16.73903647051133</c:v>
                </c:pt>
                <c:pt idx="9">
                  <c:v>6.7453544139905546</c:v>
                </c:pt>
                <c:pt idx="10">
                  <c:v>14.821718971963435</c:v>
                </c:pt>
                <c:pt idx="11">
                  <c:v>4.7051078868132876</c:v>
                </c:pt>
                <c:pt idx="12">
                  <c:v>6.6503075503131903</c:v>
                </c:pt>
                <c:pt idx="13">
                  <c:v>5.9036895990286169</c:v>
                </c:pt>
                <c:pt idx="14">
                  <c:v>5.733817597780658</c:v>
                </c:pt>
                <c:pt idx="15">
                  <c:v>4.4622479396808705</c:v>
                </c:pt>
                <c:pt idx="16">
                  <c:v>6.8301493103541713</c:v>
                </c:pt>
                <c:pt idx="17">
                  <c:v>3.8495670349358013</c:v>
                </c:pt>
                <c:pt idx="18">
                  <c:v>4.5565217391304351</c:v>
                </c:pt>
                <c:pt idx="19">
                  <c:v>4.6800867141529876</c:v>
                </c:pt>
                <c:pt idx="20">
                  <c:v>3.5903540903540905</c:v>
                </c:pt>
                <c:pt idx="21">
                  <c:v>4.4233913507564884</c:v>
                </c:pt>
              </c:numCache>
            </c:numRef>
          </c:val>
        </c:ser>
        <c:ser>
          <c:idx val="1"/>
          <c:order val="1"/>
          <c:tx>
            <c:strRef>
              <c:f>'Yield class data'!$E$4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data'!$E$5:$E$26</c:f>
              <c:numCache>
                <c:formatCode>#,##0.0</c:formatCode>
                <c:ptCount val="22"/>
                <c:pt idx="0">
                  <c:v>6.7821178522797743</c:v>
                </c:pt>
                <c:pt idx="1">
                  <c:v>12.097313229681227</c:v>
                </c:pt>
                <c:pt idx="2">
                  <c:v>5.4403385550232199</c:v>
                </c:pt>
                <c:pt idx="3">
                  <c:v>15.000070338806143</c:v>
                </c:pt>
                <c:pt idx="4">
                  <c:v>10.510925319636881</c:v>
                </c:pt>
                <c:pt idx="5">
                  <c:v>12.527813978747838</c:v>
                </c:pt>
                <c:pt idx="6">
                  <c:v>14.402407063883537</c:v>
                </c:pt>
                <c:pt idx="7">
                  <c:v>9.9642887259787862</c:v>
                </c:pt>
                <c:pt idx="8">
                  <c:v>12.737838012819129</c:v>
                </c:pt>
                <c:pt idx="9">
                  <c:v>8.0918227090945507</c:v>
                </c:pt>
                <c:pt idx="10">
                  <c:v>12.31541535093983</c:v>
                </c:pt>
                <c:pt idx="11">
                  <c:v>4.9619961010167568</c:v>
                </c:pt>
                <c:pt idx="12">
                  <c:v>6.74727397166654</c:v>
                </c:pt>
                <c:pt idx="13">
                  <c:v>6.4445408862964282</c:v>
                </c:pt>
                <c:pt idx="14">
                  <c:v>7.1728706444794401</c:v>
                </c:pt>
                <c:pt idx="15">
                  <c:v>5.6881561483034826</c:v>
                </c:pt>
                <c:pt idx="16">
                  <c:v>6.8527875647092324</c:v>
                </c:pt>
                <c:pt idx="17">
                  <c:v>2.4578632598288617</c:v>
                </c:pt>
                <c:pt idx="18">
                  <c:v>3.1411659630863871</c:v>
                </c:pt>
                <c:pt idx="19">
                  <c:v>5.3390297480223188</c:v>
                </c:pt>
                <c:pt idx="20">
                  <c:v>4.934940634184164</c:v>
                </c:pt>
                <c:pt idx="21">
                  <c:v>5.0949881916157844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86283520"/>
        <c:axId val="186285056"/>
      </c:barChart>
      <c:catAx>
        <c:axId val="186283520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6285056"/>
        <c:crosses val="autoZero"/>
        <c:auto val="1"/>
        <c:lblAlgn val="ctr"/>
        <c:lblOffset val="100"/>
        <c:noMultiLvlLbl val="0"/>
      </c:catAx>
      <c:valAx>
        <c:axId val="186285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 class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86283520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Private</a:t>
            </a:r>
            <a:r>
              <a:rPr lang="en-GB" baseline="0"/>
              <a:t> sector overdue volume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'Section 8 data country'!$C$43:$F$43</c:f>
              <c:strCache>
                <c:ptCount val="1"/>
                <c:pt idx="0">
                  <c:v>all 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country'!$D$47:$D$60</c:f>
              <c:numCache>
                <c:formatCode>#,##0</c:formatCode>
                <c:ptCount val="14"/>
                <c:pt idx="0">
                  <c:v>1943.5844448438202</c:v>
                </c:pt>
                <c:pt idx="1">
                  <c:v>2283.4638052418504</c:v>
                </c:pt>
                <c:pt idx="2">
                  <c:v>703.86939129861003</c:v>
                </c:pt>
                <c:pt idx="3">
                  <c:v>746.00912357929394</c:v>
                </c:pt>
                <c:pt idx="4">
                  <c:v>181.85684500327</c:v>
                </c:pt>
                <c:pt idx="5">
                  <c:v>205.048975213451</c:v>
                </c:pt>
                <c:pt idx="6">
                  <c:v>704.41826501128992</c:v>
                </c:pt>
                <c:pt idx="7">
                  <c:v>193.44955397452802</c:v>
                </c:pt>
                <c:pt idx="8">
                  <c:v>1589.25594897781</c:v>
                </c:pt>
                <c:pt idx="9">
                  <c:v>1423.6310772207801</c:v>
                </c:pt>
                <c:pt idx="10">
                  <c:v>1383.55273962412</c:v>
                </c:pt>
                <c:pt idx="11">
                  <c:v>2784.0635993022602</c:v>
                </c:pt>
                <c:pt idx="12">
                  <c:v>3690.5654266226597</c:v>
                </c:pt>
                <c:pt idx="13">
                  <c:v>1660.6559865362099</c:v>
                </c:pt>
              </c:numCache>
            </c:numRef>
          </c:val>
        </c:ser>
        <c:ser>
          <c:idx val="0"/>
          <c:order val="1"/>
          <c:tx>
            <c:strRef>
              <c:f>'Section 8 data country'!$C$83:$F$83</c:f>
              <c:strCache>
                <c:ptCount val="1"/>
                <c:pt idx="0">
                  <c:v>all 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val>
            <c:numRef>
              <c:f>'Section 8 data country'!$D$87:$D$100</c:f>
              <c:numCache>
                <c:formatCode>#,##0</c:formatCode>
                <c:ptCount val="14"/>
                <c:pt idx="0">
                  <c:v>3940.8616735759897</c:v>
                </c:pt>
                <c:pt idx="1">
                  <c:v>9427.0598001902708</c:v>
                </c:pt>
                <c:pt idx="2">
                  <c:v>8961.2637232419784</c:v>
                </c:pt>
                <c:pt idx="3">
                  <c:v>3434.7703462908903</c:v>
                </c:pt>
                <c:pt idx="4">
                  <c:v>2354.1257094860598</c:v>
                </c:pt>
                <c:pt idx="5">
                  <c:v>2728.6457014489001</c:v>
                </c:pt>
                <c:pt idx="6">
                  <c:v>6929.1880667245096</c:v>
                </c:pt>
                <c:pt idx="7">
                  <c:v>4693.2140048256706</c:v>
                </c:pt>
                <c:pt idx="8">
                  <c:v>2451.6505613269701</c:v>
                </c:pt>
                <c:pt idx="9">
                  <c:v>11308.4977199637</c:v>
                </c:pt>
                <c:pt idx="10">
                  <c:v>8687.5026493570003</c:v>
                </c:pt>
                <c:pt idx="11">
                  <c:v>10759.5971788722</c:v>
                </c:pt>
                <c:pt idx="12">
                  <c:v>13777.1631435197</c:v>
                </c:pt>
                <c:pt idx="13">
                  <c:v>5930.4723763115098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281792"/>
        <c:axId val="187283328"/>
      </c:barChart>
      <c:catAx>
        <c:axId val="187281792"/>
        <c:scaling>
          <c:orientation val="maxMin"/>
        </c:scaling>
        <c:delete val="0"/>
        <c:axPos val="l"/>
        <c:majorTickMark val="out"/>
        <c:minorTickMark val="none"/>
        <c:tickLblPos val="nextTo"/>
        <c:crossAx val="187283328"/>
        <c:crosses val="autoZero"/>
        <c:auto val="1"/>
        <c:lblAlgn val="ctr"/>
        <c:lblOffset val="100"/>
        <c:noMultiLvlLbl val="0"/>
      </c:catAx>
      <c:valAx>
        <c:axId val="187283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28179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'Section 8 data country'!$C$43:$F$43</c:f>
              <c:strCache>
                <c:ptCount val="1"/>
                <c:pt idx="0">
                  <c:v>all 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country'!$D$47:$D$60</c:f>
              <c:numCache>
                <c:formatCode>#,##0</c:formatCode>
                <c:ptCount val="14"/>
                <c:pt idx="0">
                  <c:v>1943.5844448438202</c:v>
                </c:pt>
                <c:pt idx="1">
                  <c:v>2283.4638052418504</c:v>
                </c:pt>
                <c:pt idx="2">
                  <c:v>703.86939129861003</c:v>
                </c:pt>
                <c:pt idx="3">
                  <c:v>746.00912357929394</c:v>
                </c:pt>
                <c:pt idx="4">
                  <c:v>181.85684500327</c:v>
                </c:pt>
                <c:pt idx="5">
                  <c:v>205.048975213451</c:v>
                </c:pt>
                <c:pt idx="6">
                  <c:v>704.41826501128992</c:v>
                </c:pt>
                <c:pt idx="7">
                  <c:v>193.44955397452802</c:v>
                </c:pt>
                <c:pt idx="8">
                  <c:v>1589.25594897781</c:v>
                </c:pt>
                <c:pt idx="9">
                  <c:v>1423.6310772207801</c:v>
                </c:pt>
                <c:pt idx="10">
                  <c:v>1383.55273962412</c:v>
                </c:pt>
                <c:pt idx="11">
                  <c:v>2784.0635993022602</c:v>
                </c:pt>
                <c:pt idx="12">
                  <c:v>3690.5654266226597</c:v>
                </c:pt>
                <c:pt idx="13">
                  <c:v>1660.6559865362099</c:v>
                </c:pt>
              </c:numCache>
            </c:numRef>
          </c:val>
        </c:ser>
        <c:ser>
          <c:idx val="0"/>
          <c:order val="1"/>
          <c:tx>
            <c:strRef>
              <c:f>'Section 8 data country'!$C$83:$F$83</c:f>
              <c:strCache>
                <c:ptCount val="1"/>
                <c:pt idx="0">
                  <c:v>all 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val>
            <c:numRef>
              <c:f>'Section 8 data country'!$D$87:$D$100</c:f>
              <c:numCache>
                <c:formatCode>#,##0</c:formatCode>
                <c:ptCount val="14"/>
                <c:pt idx="0">
                  <c:v>3940.8616735759897</c:v>
                </c:pt>
                <c:pt idx="1">
                  <c:v>9427.0598001902708</c:v>
                </c:pt>
                <c:pt idx="2">
                  <c:v>8961.2637232419784</c:v>
                </c:pt>
                <c:pt idx="3">
                  <c:v>3434.7703462908903</c:v>
                </c:pt>
                <c:pt idx="4">
                  <c:v>2354.1257094860598</c:v>
                </c:pt>
                <c:pt idx="5">
                  <c:v>2728.6457014489001</c:v>
                </c:pt>
                <c:pt idx="6">
                  <c:v>6929.1880667245096</c:v>
                </c:pt>
                <c:pt idx="7">
                  <c:v>4693.2140048256706</c:v>
                </c:pt>
                <c:pt idx="8">
                  <c:v>2451.6505613269701</c:v>
                </c:pt>
                <c:pt idx="9">
                  <c:v>11308.4977199637</c:v>
                </c:pt>
                <c:pt idx="10">
                  <c:v>8687.5026493570003</c:v>
                </c:pt>
                <c:pt idx="11">
                  <c:v>10759.5971788722</c:v>
                </c:pt>
                <c:pt idx="12">
                  <c:v>13777.1631435197</c:v>
                </c:pt>
                <c:pt idx="13">
                  <c:v>5930.4723763115098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170176"/>
        <c:axId val="187176064"/>
      </c:barChart>
      <c:catAx>
        <c:axId val="1871701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87176064"/>
        <c:crosses val="autoZero"/>
        <c:auto val="1"/>
        <c:lblAlgn val="ctr"/>
        <c:lblOffset val="100"/>
        <c:noMultiLvlLbl val="0"/>
      </c:catAx>
      <c:valAx>
        <c:axId val="187176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Volume (000 m</a:t>
                </a:r>
                <a:r>
                  <a:rPr lang="en-US" sz="1400" baseline="30000"/>
                  <a:t>3</a:t>
                </a:r>
                <a:r>
                  <a:rPr lang="en-US" sz="1400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8717017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Private sector overdue area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'Section 8 data country'!$C$63:$F$63</c:f>
              <c:strCache>
                <c:ptCount val="1"/>
                <c:pt idx="0">
                  <c:v>all 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country'!$B$67:$B$80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country'!$D$67:$D$80</c:f>
              <c:numCache>
                <c:formatCode>#,##0.0</c:formatCode>
                <c:ptCount val="14"/>
                <c:pt idx="0">
                  <c:v>4.0199774017827998</c:v>
                </c:pt>
                <c:pt idx="1">
                  <c:v>4.5536266870494098</c:v>
                </c:pt>
                <c:pt idx="2">
                  <c:v>2.1324093549681402</c:v>
                </c:pt>
                <c:pt idx="3">
                  <c:v>1.5525882923050498</c:v>
                </c:pt>
                <c:pt idx="4">
                  <c:v>0.38730181868040398</c:v>
                </c:pt>
                <c:pt idx="5">
                  <c:v>0.47443897419169601</c:v>
                </c:pt>
                <c:pt idx="6">
                  <c:v>1.1482537882863</c:v>
                </c:pt>
                <c:pt idx="7">
                  <c:v>0.70912418127838206</c:v>
                </c:pt>
                <c:pt idx="8">
                  <c:v>2.4510115354505801</c:v>
                </c:pt>
                <c:pt idx="9">
                  <c:v>2.4269698431255899</c:v>
                </c:pt>
                <c:pt idx="10">
                  <c:v>2.3858370907404503</c:v>
                </c:pt>
                <c:pt idx="11">
                  <c:v>4.2060825747231805</c:v>
                </c:pt>
                <c:pt idx="12">
                  <c:v>5.3031938883710596</c:v>
                </c:pt>
                <c:pt idx="13">
                  <c:v>3.43320674220737</c:v>
                </c:pt>
              </c:numCache>
            </c:numRef>
          </c:val>
        </c:ser>
        <c:ser>
          <c:idx val="0"/>
          <c:order val="1"/>
          <c:tx>
            <c:strRef>
              <c:f>'Section 8 data country'!$C$103:$F$103</c:f>
              <c:strCache>
                <c:ptCount val="1"/>
                <c:pt idx="0">
                  <c:v>all 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country'!$B$67:$B$80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country'!$D$107:$D$120</c:f>
              <c:numCache>
                <c:formatCode>#,##0.0</c:formatCode>
                <c:ptCount val="14"/>
                <c:pt idx="0">
                  <c:v>13.453741443290701</c:v>
                </c:pt>
                <c:pt idx="1">
                  <c:v>20.705833844882601</c:v>
                </c:pt>
                <c:pt idx="2">
                  <c:v>26.356493445589699</c:v>
                </c:pt>
                <c:pt idx="3">
                  <c:v>9.7169234153175701</c:v>
                </c:pt>
                <c:pt idx="4">
                  <c:v>5.3310873801119092</c:v>
                </c:pt>
                <c:pt idx="5">
                  <c:v>7.0827100440668502</c:v>
                </c:pt>
                <c:pt idx="6">
                  <c:v>16.1154484412783</c:v>
                </c:pt>
                <c:pt idx="7">
                  <c:v>10.836207981737399</c:v>
                </c:pt>
                <c:pt idx="8">
                  <c:v>9.4176352852702685</c:v>
                </c:pt>
                <c:pt idx="9">
                  <c:v>27.5512539044012</c:v>
                </c:pt>
                <c:pt idx="10">
                  <c:v>19.928582788407901</c:v>
                </c:pt>
                <c:pt idx="11">
                  <c:v>25.589934461214899</c:v>
                </c:pt>
                <c:pt idx="12">
                  <c:v>28.3283076467333</c:v>
                </c:pt>
                <c:pt idx="13">
                  <c:v>18.537053019445199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205888"/>
        <c:axId val="187224064"/>
      </c:barChart>
      <c:catAx>
        <c:axId val="187205888"/>
        <c:scaling>
          <c:orientation val="maxMin"/>
        </c:scaling>
        <c:delete val="0"/>
        <c:axPos val="l"/>
        <c:majorTickMark val="out"/>
        <c:minorTickMark val="none"/>
        <c:tickLblPos val="nextTo"/>
        <c:crossAx val="187224064"/>
        <c:crosses val="autoZero"/>
        <c:auto val="1"/>
        <c:lblAlgn val="ctr"/>
        <c:lblOffset val="100"/>
        <c:noMultiLvlLbl val="0"/>
      </c:catAx>
      <c:valAx>
        <c:axId val="187224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720588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in England - proportion by aligned area (ordered)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7C996D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80D98D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rgbClr val="75DB9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CFD49F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7FE3E3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8BC4C0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85B569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91E3BB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60AB61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9EB074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739C9B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7FB59F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D7D97E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43996C"/>
              </a:solidFill>
              <a:ln>
                <a:solidFill>
                  <a:schemeClr val="bg1"/>
                </a:solidFill>
              </a:ln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'Eng Table 3'!$L$8:$L$21</c:f>
              <c:strCache>
                <c:ptCount val="14"/>
                <c:pt idx="0">
                  <c:v>West Midlands</c:v>
                </c:pt>
                <c:pt idx="1">
                  <c:v>East Anglia</c:v>
                </c:pt>
                <c:pt idx="2">
                  <c:v>Solent and South Downs</c:v>
                </c:pt>
                <c:pt idx="3">
                  <c:v>North East</c:v>
                </c:pt>
                <c:pt idx="4">
                  <c:v>Devon and Cornwall</c:v>
                </c:pt>
                <c:pt idx="5">
                  <c:v>Yorkshire</c:v>
                </c:pt>
                <c:pt idx="6">
                  <c:v>Wessex</c:v>
                </c:pt>
                <c:pt idx="7">
                  <c:v>Kent S London and E Sussex</c:v>
                </c:pt>
                <c:pt idx="8">
                  <c:v>Thames</c:v>
                </c:pt>
                <c:pt idx="9">
                  <c:v>Cumbria and Lancashire</c:v>
                </c:pt>
                <c:pt idx="10">
                  <c:v>East Midlands</c:v>
                </c:pt>
                <c:pt idx="11">
                  <c:v>Lincs and Northants</c:v>
                </c:pt>
                <c:pt idx="12">
                  <c:v>Herts and North London</c:v>
                </c:pt>
                <c:pt idx="13">
                  <c:v>Gtr Mancs Mersey and Ches</c:v>
                </c:pt>
              </c:strCache>
            </c:strRef>
          </c:cat>
          <c:val>
            <c:numRef>
              <c:f>'Eng Table 3'!$Q$8:$Q$21</c:f>
              <c:numCache>
                <c:formatCode>#,##0</c:formatCode>
                <c:ptCount val="14"/>
                <c:pt idx="0">
                  <c:v>140664.15780331078</c:v>
                </c:pt>
                <c:pt idx="1">
                  <c:v>132939.83507470132</c:v>
                </c:pt>
                <c:pt idx="2">
                  <c:v>120885.63554048826</c:v>
                </c:pt>
                <c:pt idx="3">
                  <c:v>116129.85117915661</c:v>
                </c:pt>
                <c:pt idx="4">
                  <c:v>111777.13630338205</c:v>
                </c:pt>
                <c:pt idx="5">
                  <c:v>110312.64314683444</c:v>
                </c:pt>
                <c:pt idx="6">
                  <c:v>105008.94606982129</c:v>
                </c:pt>
                <c:pt idx="7">
                  <c:v>103265.27677174045</c:v>
                </c:pt>
                <c:pt idx="8">
                  <c:v>97243.9751786446</c:v>
                </c:pt>
                <c:pt idx="9">
                  <c:v>88219.762657770407</c:v>
                </c:pt>
                <c:pt idx="10">
                  <c:v>56483.157629908012</c:v>
                </c:pt>
                <c:pt idx="11">
                  <c:v>50113.990958361159</c:v>
                </c:pt>
                <c:pt idx="12">
                  <c:v>35171.526755349289</c:v>
                </c:pt>
                <c:pt idx="13">
                  <c:v>29449.692692504963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'Section 8 data country'!$C$63:$F$63</c:f>
              <c:strCache>
                <c:ptCount val="1"/>
                <c:pt idx="0">
                  <c:v>all 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country'!$B$67:$B$80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country'!$D$67:$D$80</c:f>
              <c:numCache>
                <c:formatCode>#,##0.0</c:formatCode>
                <c:ptCount val="14"/>
                <c:pt idx="0">
                  <c:v>4.0199774017827998</c:v>
                </c:pt>
                <c:pt idx="1">
                  <c:v>4.5536266870494098</c:v>
                </c:pt>
                <c:pt idx="2">
                  <c:v>2.1324093549681402</c:v>
                </c:pt>
                <c:pt idx="3">
                  <c:v>1.5525882923050498</c:v>
                </c:pt>
                <c:pt idx="4">
                  <c:v>0.38730181868040398</c:v>
                </c:pt>
                <c:pt idx="5">
                  <c:v>0.47443897419169601</c:v>
                </c:pt>
                <c:pt idx="6">
                  <c:v>1.1482537882863</c:v>
                </c:pt>
                <c:pt idx="7">
                  <c:v>0.70912418127838206</c:v>
                </c:pt>
                <c:pt idx="8">
                  <c:v>2.4510115354505801</c:v>
                </c:pt>
                <c:pt idx="9">
                  <c:v>2.4269698431255899</c:v>
                </c:pt>
                <c:pt idx="10">
                  <c:v>2.3858370907404503</c:v>
                </c:pt>
                <c:pt idx="11">
                  <c:v>4.2060825747231805</c:v>
                </c:pt>
                <c:pt idx="12">
                  <c:v>5.3031938883710596</c:v>
                </c:pt>
                <c:pt idx="13">
                  <c:v>3.43320674220737</c:v>
                </c:pt>
              </c:numCache>
            </c:numRef>
          </c:val>
        </c:ser>
        <c:ser>
          <c:idx val="0"/>
          <c:order val="1"/>
          <c:tx>
            <c:strRef>
              <c:f>'Section 8 data country'!$C$103:$F$103</c:f>
              <c:strCache>
                <c:ptCount val="1"/>
                <c:pt idx="0">
                  <c:v>all 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8 data country'!$B$67:$B$80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8 data country'!$D$107:$D$120</c:f>
              <c:numCache>
                <c:formatCode>#,##0.0</c:formatCode>
                <c:ptCount val="14"/>
                <c:pt idx="0">
                  <c:v>13.453741443290701</c:v>
                </c:pt>
                <c:pt idx="1">
                  <c:v>20.705833844882601</c:v>
                </c:pt>
                <c:pt idx="2">
                  <c:v>26.356493445589699</c:v>
                </c:pt>
                <c:pt idx="3">
                  <c:v>9.7169234153175701</c:v>
                </c:pt>
                <c:pt idx="4">
                  <c:v>5.3310873801119092</c:v>
                </c:pt>
                <c:pt idx="5">
                  <c:v>7.0827100440668502</c:v>
                </c:pt>
                <c:pt idx="6">
                  <c:v>16.1154484412783</c:v>
                </c:pt>
                <c:pt idx="7">
                  <c:v>10.836207981737399</c:v>
                </c:pt>
                <c:pt idx="8">
                  <c:v>9.4176352852702685</c:v>
                </c:pt>
                <c:pt idx="9">
                  <c:v>27.5512539044012</c:v>
                </c:pt>
                <c:pt idx="10">
                  <c:v>19.928582788407901</c:v>
                </c:pt>
                <c:pt idx="11">
                  <c:v>25.589934461214899</c:v>
                </c:pt>
                <c:pt idx="12">
                  <c:v>28.3283076467333</c:v>
                </c:pt>
                <c:pt idx="13">
                  <c:v>18.537053019445199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356672"/>
        <c:axId val="187358208"/>
      </c:barChart>
      <c:catAx>
        <c:axId val="18735667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87358208"/>
        <c:crosses val="autoZero"/>
        <c:auto val="1"/>
        <c:lblAlgn val="ctr"/>
        <c:lblOffset val="100"/>
        <c:noMultiLvlLbl val="0"/>
      </c:catAx>
      <c:valAx>
        <c:axId val="187358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aseline="0"/>
                </a:pPr>
                <a:r>
                  <a:rPr lang="en-US" sz="1400" baseline="0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87356672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25-year softwood forecast of softwood timber availability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9 chart data'!$P$34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data'!$R$35:$R$40</c:f>
              <c:numCache>
                <c:formatCode>#,##0</c:formatCode>
                <c:ptCount val="6"/>
                <c:pt idx="0">
                  <c:v>4315.5749999999998</c:v>
                </c:pt>
                <c:pt idx="1">
                  <c:v>4416.3530000000001</c:v>
                </c:pt>
                <c:pt idx="2">
                  <c:v>4079.3850000000002</c:v>
                </c:pt>
                <c:pt idx="3">
                  <c:v>4198.8140000000003</c:v>
                </c:pt>
                <c:pt idx="4">
                  <c:v>4005.1950000000002</c:v>
                </c:pt>
                <c:pt idx="5">
                  <c:v>3373.1030000000001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89728"/>
        <c:axId val="186891648"/>
      </c:lineChart>
      <c:catAx>
        <c:axId val="1868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6891648"/>
        <c:crosses val="autoZero"/>
        <c:auto val="1"/>
        <c:lblAlgn val="ctr"/>
        <c:lblOffset val="100"/>
        <c:noMultiLvlLbl val="0"/>
      </c:catAx>
      <c:valAx>
        <c:axId val="18689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688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9 chart data'!$P$34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data'!$R$35:$R$40</c:f>
              <c:numCache>
                <c:formatCode>#,##0</c:formatCode>
                <c:ptCount val="6"/>
                <c:pt idx="0">
                  <c:v>4315.5749999999998</c:v>
                </c:pt>
                <c:pt idx="1">
                  <c:v>4416.3530000000001</c:v>
                </c:pt>
                <c:pt idx="2">
                  <c:v>4079.3850000000002</c:v>
                </c:pt>
                <c:pt idx="3">
                  <c:v>4198.8140000000003</c:v>
                </c:pt>
                <c:pt idx="4">
                  <c:v>4005.1950000000002</c:v>
                </c:pt>
                <c:pt idx="5">
                  <c:v>3373.1030000000001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43360"/>
        <c:axId val="186945536"/>
      </c:lineChart>
      <c:catAx>
        <c:axId val="18694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6945536"/>
        <c:crosses val="autoZero"/>
        <c:auto val="1"/>
        <c:lblAlgn val="ctr"/>
        <c:lblOffset val="100"/>
        <c:noMultiLvlLbl val="0"/>
      </c:catAx>
      <c:valAx>
        <c:axId val="186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694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softwood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</c:numCache>
            </c:numRef>
          </c:val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data'!$L$35:$L$40</c:f>
                <c:numCache>
                  <c:formatCode>General</c:formatCode>
                  <c:ptCount val="6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</c:numCache>
              </c:numRef>
            </c:plus>
            <c:minus>
              <c:numRef>
                <c:f>'Section 9 chart data'!$L$35:$L$40</c:f>
                <c:numCache>
                  <c:formatCode>General</c:formatCode>
                  <c:ptCount val="6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</c:numCache>
              </c:numRef>
            </c:minus>
          </c:errBars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028992"/>
        <c:axId val="187030912"/>
      </c:barChart>
      <c:catAx>
        <c:axId val="1870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7030912"/>
        <c:crosses val="autoZero"/>
        <c:auto val="1"/>
        <c:lblAlgn val="ctr"/>
        <c:lblOffset val="100"/>
        <c:noMultiLvlLbl val="0"/>
      </c:catAx>
      <c:valAx>
        <c:axId val="18703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02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</c:numCache>
            </c:numRef>
          </c:val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data'!$L$35:$L$40</c:f>
                <c:numCache>
                  <c:formatCode>General</c:formatCode>
                  <c:ptCount val="6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</c:numCache>
              </c:numRef>
            </c:plus>
            <c:minus>
              <c:numRef>
                <c:f>'Section 9 chart data'!$L$35:$L$40</c:f>
                <c:numCache>
                  <c:formatCode>General</c:formatCode>
                  <c:ptCount val="6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</c:numCache>
              </c:numRef>
            </c:minus>
          </c:errBars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065856"/>
        <c:axId val="187067776"/>
      </c:barChart>
      <c:catAx>
        <c:axId val="18706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7067776"/>
        <c:crosses val="autoZero"/>
        <c:auto val="1"/>
        <c:lblAlgn val="ctr"/>
        <c:lblOffset val="100"/>
        <c:noMultiLvlLbl val="0"/>
      </c:catAx>
      <c:valAx>
        <c:axId val="18706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06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standing volume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data'!$D$15:$D$20</c:f>
              <c:numCache>
                <c:formatCode>#,##0</c:formatCode>
                <c:ptCount val="6"/>
                <c:pt idx="0">
                  <c:v>25206.851999999999</c:v>
                </c:pt>
                <c:pt idx="1">
                  <c:v>25788.648000000001</c:v>
                </c:pt>
                <c:pt idx="2">
                  <c:v>25916.34</c:v>
                </c:pt>
                <c:pt idx="3">
                  <c:v>25851.19</c:v>
                </c:pt>
                <c:pt idx="4">
                  <c:v>25799.938999999998</c:v>
                </c:pt>
                <c:pt idx="5">
                  <c:v>25945.727999999999</c:v>
                </c:pt>
              </c:numCache>
            </c:numRef>
          </c:val>
        </c:ser>
        <c:ser>
          <c:idx val="1"/>
          <c:order val="1"/>
          <c:tx>
            <c:strRef>
              <c:f>'Section 9 chart data'!$H$14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data'!$L$15:$L$20</c:f>
                <c:numCache>
                  <c:formatCode>General</c:formatCode>
                  <c:ptCount val="6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</c:numCache>
              </c:numRef>
            </c:plus>
            <c:minus>
              <c:numRef>
                <c:f>'Section 9 chart data'!$L$15:$L$20</c:f>
                <c:numCache>
                  <c:formatCode>General</c:formatCode>
                  <c:ptCount val="6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</c:numCache>
              </c:numRef>
            </c:minus>
          </c:errBars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data'!$J$15:$J$20</c:f>
              <c:numCache>
                <c:formatCode>#,##0</c:formatCode>
                <c:ptCount val="6"/>
                <c:pt idx="0">
                  <c:v>60358.002999999997</c:v>
                </c:pt>
                <c:pt idx="1">
                  <c:v>56343.733999999997</c:v>
                </c:pt>
                <c:pt idx="2">
                  <c:v>49719.667999999998</c:v>
                </c:pt>
                <c:pt idx="3">
                  <c:v>42418.332999999999</c:v>
                </c:pt>
                <c:pt idx="4">
                  <c:v>35035.298999999999</c:v>
                </c:pt>
                <c:pt idx="5">
                  <c:v>29809.145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894208"/>
        <c:axId val="188896384"/>
      </c:barChart>
      <c:catAx>
        <c:axId val="18889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8896384"/>
        <c:crosses val="autoZero"/>
        <c:auto val="1"/>
        <c:lblAlgn val="ctr"/>
        <c:lblOffset val="100"/>
        <c:noMultiLvlLbl val="0"/>
      </c:catAx>
      <c:valAx>
        <c:axId val="188896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889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data'!$D$15:$D$20</c:f>
              <c:numCache>
                <c:formatCode>#,##0</c:formatCode>
                <c:ptCount val="6"/>
                <c:pt idx="0">
                  <c:v>25206.851999999999</c:v>
                </c:pt>
                <c:pt idx="1">
                  <c:v>25788.648000000001</c:v>
                </c:pt>
                <c:pt idx="2">
                  <c:v>25916.34</c:v>
                </c:pt>
                <c:pt idx="3">
                  <c:v>25851.19</c:v>
                </c:pt>
                <c:pt idx="4">
                  <c:v>25799.938999999998</c:v>
                </c:pt>
                <c:pt idx="5">
                  <c:v>25945.727999999999</c:v>
                </c:pt>
              </c:numCache>
            </c:numRef>
          </c:val>
        </c:ser>
        <c:ser>
          <c:idx val="1"/>
          <c:order val="1"/>
          <c:tx>
            <c:strRef>
              <c:f>'Section 9 chart data'!$H$14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data'!$L$15:$L$20</c:f>
                <c:numCache>
                  <c:formatCode>General</c:formatCode>
                  <c:ptCount val="6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</c:numCache>
              </c:numRef>
            </c:plus>
            <c:minus>
              <c:numRef>
                <c:f>'Section 9 chart data'!$L$15:$L$20</c:f>
                <c:numCache>
                  <c:formatCode>General</c:formatCode>
                  <c:ptCount val="6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</c:numCache>
              </c:numRef>
            </c:minus>
          </c:errBars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data'!$J$15:$J$20</c:f>
              <c:numCache>
                <c:formatCode>#,##0</c:formatCode>
                <c:ptCount val="6"/>
                <c:pt idx="0">
                  <c:v>60358.002999999997</c:v>
                </c:pt>
                <c:pt idx="1">
                  <c:v>56343.733999999997</c:v>
                </c:pt>
                <c:pt idx="2">
                  <c:v>49719.667999999998</c:v>
                </c:pt>
                <c:pt idx="3">
                  <c:v>42418.332999999999</c:v>
                </c:pt>
                <c:pt idx="4">
                  <c:v>35035.298999999999</c:v>
                </c:pt>
                <c:pt idx="5">
                  <c:v>29809.145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943360"/>
        <c:axId val="188949632"/>
      </c:barChart>
      <c:catAx>
        <c:axId val="18894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8949632"/>
        <c:crosses val="autoZero"/>
        <c:auto val="1"/>
        <c:lblAlgn val="ctr"/>
        <c:lblOffset val="100"/>
        <c:noMultiLvlLbl val="0"/>
      </c:catAx>
      <c:valAx>
        <c:axId val="18894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894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net increment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data'!$D$25:$D$30</c:f>
              <c:numCache>
                <c:formatCode>#,##0</c:formatCode>
                <c:ptCount val="6"/>
                <c:pt idx="0">
                  <c:v>1218.615</c:v>
                </c:pt>
                <c:pt idx="1">
                  <c:v>1245.604</c:v>
                </c:pt>
                <c:pt idx="2">
                  <c:v>1158.376</c:v>
                </c:pt>
                <c:pt idx="3">
                  <c:v>1133.123</c:v>
                </c:pt>
                <c:pt idx="4">
                  <c:v>1113.4159999999999</c:v>
                </c:pt>
                <c:pt idx="5">
                  <c:v>1127.173</c:v>
                </c:pt>
              </c:numCache>
            </c:numRef>
          </c:val>
        </c:ser>
        <c:ser>
          <c:idx val="1"/>
          <c:order val="1"/>
          <c:tx>
            <c:strRef>
              <c:f>'Section 9 chart data'!$H$24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data'!$L$25:$L$30</c:f>
                <c:numCache>
                  <c:formatCode>General</c:formatCode>
                  <c:ptCount val="6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</c:numCache>
              </c:numRef>
            </c:plus>
            <c:minus>
              <c:numRef>
                <c:f>'Section 9 chart data'!$L$25:$L$30</c:f>
                <c:numCache>
                  <c:formatCode>General</c:formatCode>
                  <c:ptCount val="6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</c:numCache>
              </c:numRef>
            </c:minus>
          </c:errBars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data'!$J$25:$J$30</c:f>
              <c:numCache>
                <c:formatCode>#,##0</c:formatCode>
                <c:ptCount val="6"/>
                <c:pt idx="0">
                  <c:v>2181.4549999999999</c:v>
                </c:pt>
                <c:pt idx="1">
                  <c:v>2035.2639999999999</c:v>
                </c:pt>
                <c:pt idx="2">
                  <c:v>1746.633</c:v>
                </c:pt>
                <c:pt idx="3">
                  <c:v>1547.9090000000001</c:v>
                </c:pt>
                <c:pt idx="4">
                  <c:v>1406.9659999999999</c:v>
                </c:pt>
                <c:pt idx="5">
                  <c:v>1406.7560000000001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587968"/>
        <c:axId val="187594240"/>
      </c:barChart>
      <c:catAx>
        <c:axId val="18758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7594240"/>
        <c:crosses val="autoZero"/>
        <c:auto val="1"/>
        <c:lblAlgn val="ctr"/>
        <c:lblOffset val="100"/>
        <c:noMultiLvlLbl val="0"/>
      </c:catAx>
      <c:valAx>
        <c:axId val="18759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58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data'!$D$25:$D$30</c:f>
              <c:numCache>
                <c:formatCode>#,##0</c:formatCode>
                <c:ptCount val="6"/>
                <c:pt idx="0">
                  <c:v>1218.615</c:v>
                </c:pt>
                <c:pt idx="1">
                  <c:v>1245.604</c:v>
                </c:pt>
                <c:pt idx="2">
                  <c:v>1158.376</c:v>
                </c:pt>
                <c:pt idx="3">
                  <c:v>1133.123</c:v>
                </c:pt>
                <c:pt idx="4">
                  <c:v>1113.4159999999999</c:v>
                </c:pt>
                <c:pt idx="5">
                  <c:v>1127.173</c:v>
                </c:pt>
              </c:numCache>
            </c:numRef>
          </c:val>
        </c:ser>
        <c:ser>
          <c:idx val="1"/>
          <c:order val="1"/>
          <c:tx>
            <c:strRef>
              <c:f>'Section 9 chart data'!$H$24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data'!$L$25:$L$30</c:f>
                <c:numCache>
                  <c:formatCode>General</c:formatCode>
                  <c:ptCount val="6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</c:numCache>
              </c:numRef>
            </c:plus>
            <c:minus>
              <c:numRef>
                <c:f>'Section 9 chart data'!$L$25:$L$30</c:f>
                <c:numCache>
                  <c:formatCode>General</c:formatCode>
                  <c:ptCount val="6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</c:numCache>
              </c:numRef>
            </c:minus>
          </c:errBars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data'!$J$25:$J$30</c:f>
              <c:numCache>
                <c:formatCode>#,##0</c:formatCode>
                <c:ptCount val="6"/>
                <c:pt idx="0">
                  <c:v>2181.4549999999999</c:v>
                </c:pt>
                <c:pt idx="1">
                  <c:v>2035.2639999999999</c:v>
                </c:pt>
                <c:pt idx="2">
                  <c:v>1746.633</c:v>
                </c:pt>
                <c:pt idx="3">
                  <c:v>1547.9090000000001</c:v>
                </c:pt>
                <c:pt idx="4">
                  <c:v>1406.9659999999999</c:v>
                </c:pt>
                <c:pt idx="5">
                  <c:v>1406.7560000000001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645312"/>
        <c:axId val="187680256"/>
      </c:barChart>
      <c:catAx>
        <c:axId val="18764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7680256"/>
        <c:crosses val="autoZero"/>
        <c:auto val="1"/>
        <c:lblAlgn val="ctr"/>
        <c:lblOffset val="100"/>
        <c:noMultiLvlLbl val="0"/>
      </c:catAx>
      <c:valAx>
        <c:axId val="187680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64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25-year forecast of softwood standing volume, increment and availabilty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9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9 chart data'!$C$15:$C$21,'Section 9 chart data'!$I$15:$I$21,'Section 9 chart data'!$Q$15:$Q$20)</c:f>
              <c:strCache>
                <c:ptCount val="20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7">
                  <c:v>2013–16</c:v>
                </c:pt>
                <c:pt idx="8">
                  <c:v>2017–21</c:v>
                </c:pt>
                <c:pt idx="9">
                  <c:v>2022–26</c:v>
                </c:pt>
                <c:pt idx="10">
                  <c:v>2027–31</c:v>
                </c:pt>
                <c:pt idx="11">
                  <c:v>2032–36</c:v>
                </c:pt>
                <c:pt idx="12">
                  <c:v>2037–41</c:v>
                </c:pt>
                <c:pt idx="14">
                  <c:v>2013–16</c:v>
                </c:pt>
                <c:pt idx="15">
                  <c:v>2017–21</c:v>
                </c:pt>
                <c:pt idx="16">
                  <c:v>2022–26</c:v>
                </c:pt>
                <c:pt idx="17">
                  <c:v>2027–31</c:v>
                </c:pt>
                <c:pt idx="18">
                  <c:v>2032–36</c:v>
                </c:pt>
                <c:pt idx="19">
                  <c:v>2037–41</c:v>
                </c:pt>
              </c:strCache>
            </c:strRef>
          </c:cat>
          <c:val>
            <c:numRef>
              <c:f>('Section 9 chart data'!$D$5:$D$11,'Section 9 chart data'!$J$5:$J$11,'Section 9 chart data'!$R$5:$R$10)</c:f>
              <c:numCache>
                <c:formatCode>#,##0</c:formatCode>
                <c:ptCount val="20"/>
                <c:pt idx="0">
                  <c:v>26375.967000000001</c:v>
                </c:pt>
                <c:pt idx="1">
                  <c:v>26128.664000000001</c:v>
                </c:pt>
                <c:pt idx="2">
                  <c:v>26440.49</c:v>
                </c:pt>
                <c:pt idx="3">
                  <c:v>26570.198</c:v>
                </c:pt>
                <c:pt idx="4">
                  <c:v>26447.948</c:v>
                </c:pt>
                <c:pt idx="5">
                  <c:v>26500.928</c:v>
                </c:pt>
                <c:pt idx="7">
                  <c:v>62706.601000000002</c:v>
                </c:pt>
                <c:pt idx="8">
                  <c:v>59600.669000000002</c:v>
                </c:pt>
                <c:pt idx="9">
                  <c:v>53334.332999999999</c:v>
                </c:pt>
                <c:pt idx="10">
                  <c:v>47285.254000000001</c:v>
                </c:pt>
                <c:pt idx="11">
                  <c:v>39761.31</c:v>
                </c:pt>
                <c:pt idx="12">
                  <c:v>32244.127</c:v>
                </c:pt>
                <c:pt idx="14">
                  <c:v>89082.567999999999</c:v>
                </c:pt>
                <c:pt idx="15">
                  <c:v>85729.332999999999</c:v>
                </c:pt>
                <c:pt idx="16">
                  <c:v>79774.823000000004</c:v>
                </c:pt>
                <c:pt idx="17">
                  <c:v>73855.452000000005</c:v>
                </c:pt>
                <c:pt idx="18">
                  <c:v>66209.258000000002</c:v>
                </c:pt>
                <c:pt idx="19">
                  <c:v>58745.055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7778176"/>
        <c:axId val="187780096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9 chart data'!$B$23:$F$23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9 chart data'!$F$25:$F$31,'Section 9 chart data'!$N$25:$N$31,'Section 9 chart data'!$T$25:$T$30)</c:f>
              <c:numCache>
                <c:formatCode>#,##0</c:formatCode>
                <c:ptCount val="20"/>
                <c:pt idx="0">
                  <c:v>4874.46</c:v>
                </c:pt>
                <c:pt idx="1">
                  <c:v>6228.02</c:v>
                </c:pt>
                <c:pt idx="2">
                  <c:v>5791.88</c:v>
                </c:pt>
                <c:pt idx="3">
                  <c:v>5665.6149999999998</c:v>
                </c:pt>
                <c:pt idx="4">
                  <c:v>5567.08</c:v>
                </c:pt>
                <c:pt idx="5">
                  <c:v>5635.8649999999998</c:v>
                </c:pt>
                <c:pt idx="7">
                  <c:v>8725.82</c:v>
                </c:pt>
                <c:pt idx="8">
                  <c:v>10176.32</c:v>
                </c:pt>
                <c:pt idx="9">
                  <c:v>8733.1650000000009</c:v>
                </c:pt>
                <c:pt idx="10">
                  <c:v>7739.5450000000001</c:v>
                </c:pt>
                <c:pt idx="11">
                  <c:v>7034.83</c:v>
                </c:pt>
                <c:pt idx="12">
                  <c:v>7033.7800000000007</c:v>
                </c:pt>
                <c:pt idx="14">
                  <c:v>13600.279999999999</c:v>
                </c:pt>
                <c:pt idx="15">
                  <c:v>16404.34</c:v>
                </c:pt>
                <c:pt idx="16">
                  <c:v>14525.045</c:v>
                </c:pt>
                <c:pt idx="17">
                  <c:v>13405.16</c:v>
                </c:pt>
                <c:pt idx="18">
                  <c:v>12601.909999999998</c:v>
                </c:pt>
                <c:pt idx="19">
                  <c:v>12669.645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794176"/>
        <c:axId val="187795712"/>
      </c:barChart>
      <c:lineChart>
        <c:grouping val="standard"/>
        <c:varyColors val="0"/>
        <c:ser>
          <c:idx val="2"/>
          <c:order val="2"/>
          <c:tx>
            <c:strRef>
              <c:f>'Section 9 chart data'!$B$33:$F$33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9 chart data'!$F$35:$F$41,'Section 9 chart data'!$N$35:$N$41,'Section 9 chart data'!$T$35:$T$40)</c:f>
              <c:numCache>
                <c:formatCode>#,##0</c:formatCode>
                <c:ptCount val="20"/>
                <c:pt idx="0">
                  <c:v>5430.5519999999997</c:v>
                </c:pt>
                <c:pt idx="1">
                  <c:v>5757.2450000000008</c:v>
                </c:pt>
                <c:pt idx="2">
                  <c:v>5614.6799999999994</c:v>
                </c:pt>
                <c:pt idx="3">
                  <c:v>5730.5749999999998</c:v>
                </c:pt>
                <c:pt idx="4">
                  <c:v>5473.95</c:v>
                </c:pt>
                <c:pt idx="5">
                  <c:v>5501.7950000000001</c:v>
                </c:pt>
                <c:pt idx="7">
                  <c:v>11831.748</c:v>
                </c:pt>
                <c:pt idx="8">
                  <c:v>16324.52</c:v>
                </c:pt>
                <c:pt idx="9">
                  <c:v>14782.245000000001</c:v>
                </c:pt>
                <c:pt idx="10">
                  <c:v>15263.495000000001</c:v>
                </c:pt>
                <c:pt idx="11">
                  <c:v>14552.025000000001</c:v>
                </c:pt>
                <c:pt idx="12">
                  <c:v>11363.720000000001</c:v>
                </c:pt>
                <c:pt idx="14">
                  <c:v>17262.3</c:v>
                </c:pt>
                <c:pt idx="15">
                  <c:v>22081.764999999999</c:v>
                </c:pt>
                <c:pt idx="16">
                  <c:v>20396.925000000003</c:v>
                </c:pt>
                <c:pt idx="17">
                  <c:v>20994.07</c:v>
                </c:pt>
                <c:pt idx="18">
                  <c:v>20025.975000000002</c:v>
                </c:pt>
                <c:pt idx="19">
                  <c:v>16865.514999999999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94176"/>
        <c:axId val="187795712"/>
      </c:lineChart>
      <c:catAx>
        <c:axId val="18777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778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78009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7778176"/>
        <c:crosses val="autoZero"/>
        <c:crossBetween val="between"/>
      </c:valAx>
      <c:catAx>
        <c:axId val="18779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87795712"/>
        <c:crosses val="autoZero"/>
        <c:auto val="0"/>
        <c:lblAlgn val="ctr"/>
        <c:lblOffset val="100"/>
        <c:noMultiLvlLbl val="0"/>
      </c:catAx>
      <c:valAx>
        <c:axId val="187795712"/>
        <c:scaling>
          <c:orientation val="minMax"/>
          <c:max val="10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779417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7C996D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80D98D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rgbClr val="75DB9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CFD49F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7FE3E3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8BC4C0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85B569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91E3BB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60AB61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9EB074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739C9B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7FB59F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D7D97E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43996C"/>
              </a:solidFill>
              <a:ln>
                <a:solidFill>
                  <a:schemeClr val="bg1"/>
                </a:solidFill>
              </a:ln>
            </c:spPr>
          </c:dPt>
          <c:dLbls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'Eng Table 3'!$L$8:$L$21</c:f>
              <c:strCache>
                <c:ptCount val="14"/>
                <c:pt idx="0">
                  <c:v>West Midlands</c:v>
                </c:pt>
                <c:pt idx="1">
                  <c:v>East Anglia</c:v>
                </c:pt>
                <c:pt idx="2">
                  <c:v>Solent and South Downs</c:v>
                </c:pt>
                <c:pt idx="3">
                  <c:v>North East</c:v>
                </c:pt>
                <c:pt idx="4">
                  <c:v>Devon and Cornwall</c:v>
                </c:pt>
                <c:pt idx="5">
                  <c:v>Yorkshire</c:v>
                </c:pt>
                <c:pt idx="6">
                  <c:v>Wessex</c:v>
                </c:pt>
                <c:pt idx="7">
                  <c:v>Kent S London and E Sussex</c:v>
                </c:pt>
                <c:pt idx="8">
                  <c:v>Thames</c:v>
                </c:pt>
                <c:pt idx="9">
                  <c:v>Cumbria and Lancashire</c:v>
                </c:pt>
                <c:pt idx="10">
                  <c:v>East Midlands</c:v>
                </c:pt>
                <c:pt idx="11">
                  <c:v>Lincs and Northants</c:v>
                </c:pt>
                <c:pt idx="12">
                  <c:v>Herts and North London</c:v>
                </c:pt>
                <c:pt idx="13">
                  <c:v>Gtr Mancs Mersey and Ches</c:v>
                </c:pt>
              </c:strCache>
            </c:strRef>
          </c:cat>
          <c:val>
            <c:numRef>
              <c:f>'Eng Table 3'!$Q$8:$Q$21</c:f>
              <c:numCache>
                <c:formatCode>#,##0</c:formatCode>
                <c:ptCount val="14"/>
                <c:pt idx="0">
                  <c:v>140664.15780331078</c:v>
                </c:pt>
                <c:pt idx="1">
                  <c:v>132939.83507470132</c:v>
                </c:pt>
                <c:pt idx="2">
                  <c:v>120885.63554048826</c:v>
                </c:pt>
                <c:pt idx="3">
                  <c:v>116129.85117915661</c:v>
                </c:pt>
                <c:pt idx="4">
                  <c:v>111777.13630338205</c:v>
                </c:pt>
                <c:pt idx="5">
                  <c:v>110312.64314683444</c:v>
                </c:pt>
                <c:pt idx="6">
                  <c:v>105008.94606982129</c:v>
                </c:pt>
                <c:pt idx="7">
                  <c:v>103265.27677174045</c:v>
                </c:pt>
                <c:pt idx="8">
                  <c:v>97243.9751786446</c:v>
                </c:pt>
                <c:pt idx="9">
                  <c:v>88219.762657770407</c:v>
                </c:pt>
                <c:pt idx="10">
                  <c:v>56483.157629908012</c:v>
                </c:pt>
                <c:pt idx="11">
                  <c:v>50113.990958361159</c:v>
                </c:pt>
                <c:pt idx="12">
                  <c:v>35171.526755349289</c:v>
                </c:pt>
                <c:pt idx="13">
                  <c:v>29449.692692504963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9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9 chart data'!$C$15:$C$21,'Section 9 chart data'!$I$15:$I$21,'Section 9 chart data'!$Q$15:$Q$20)</c:f>
              <c:strCache>
                <c:ptCount val="20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7">
                  <c:v>2013–16</c:v>
                </c:pt>
                <c:pt idx="8">
                  <c:v>2017–21</c:v>
                </c:pt>
                <c:pt idx="9">
                  <c:v>2022–26</c:v>
                </c:pt>
                <c:pt idx="10">
                  <c:v>2027–31</c:v>
                </c:pt>
                <c:pt idx="11">
                  <c:v>2032–36</c:v>
                </c:pt>
                <c:pt idx="12">
                  <c:v>2037–41</c:v>
                </c:pt>
                <c:pt idx="14">
                  <c:v>2013–16</c:v>
                </c:pt>
                <c:pt idx="15">
                  <c:v>2017–21</c:v>
                </c:pt>
                <c:pt idx="16">
                  <c:v>2022–26</c:v>
                </c:pt>
                <c:pt idx="17">
                  <c:v>2027–31</c:v>
                </c:pt>
                <c:pt idx="18">
                  <c:v>2032–36</c:v>
                </c:pt>
                <c:pt idx="19">
                  <c:v>2037–41</c:v>
                </c:pt>
              </c:strCache>
            </c:strRef>
          </c:cat>
          <c:val>
            <c:numRef>
              <c:f>('Section 9 chart data'!$D$5:$D$11,'Section 9 chart data'!$J$5:$J$11,'Section 9 chart data'!$R$5:$R$10)</c:f>
              <c:numCache>
                <c:formatCode>#,##0</c:formatCode>
                <c:ptCount val="20"/>
                <c:pt idx="0">
                  <c:v>26375.967000000001</c:v>
                </c:pt>
                <c:pt idx="1">
                  <c:v>26128.664000000001</c:v>
                </c:pt>
                <c:pt idx="2">
                  <c:v>26440.49</c:v>
                </c:pt>
                <c:pt idx="3">
                  <c:v>26570.198</c:v>
                </c:pt>
                <c:pt idx="4">
                  <c:v>26447.948</c:v>
                </c:pt>
                <c:pt idx="5">
                  <c:v>26500.928</c:v>
                </c:pt>
                <c:pt idx="7">
                  <c:v>62706.601000000002</c:v>
                </c:pt>
                <c:pt idx="8">
                  <c:v>59600.669000000002</c:v>
                </c:pt>
                <c:pt idx="9">
                  <c:v>53334.332999999999</c:v>
                </c:pt>
                <c:pt idx="10">
                  <c:v>47285.254000000001</c:v>
                </c:pt>
                <c:pt idx="11">
                  <c:v>39761.31</c:v>
                </c:pt>
                <c:pt idx="12">
                  <c:v>32244.127</c:v>
                </c:pt>
                <c:pt idx="14">
                  <c:v>89082.567999999999</c:v>
                </c:pt>
                <c:pt idx="15">
                  <c:v>85729.332999999999</c:v>
                </c:pt>
                <c:pt idx="16">
                  <c:v>79774.823000000004</c:v>
                </c:pt>
                <c:pt idx="17">
                  <c:v>73855.452000000005</c:v>
                </c:pt>
                <c:pt idx="18">
                  <c:v>66209.258000000002</c:v>
                </c:pt>
                <c:pt idx="19">
                  <c:v>58745.055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9540992"/>
        <c:axId val="189551360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9 chart data'!$B$23:$F$23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9 chart data'!$F$25:$F$31,'Section 9 chart data'!$N$25:$N$31,'Section 9 chart data'!$T$25:$T$30)</c:f>
              <c:numCache>
                <c:formatCode>#,##0</c:formatCode>
                <c:ptCount val="20"/>
                <c:pt idx="0">
                  <c:v>4874.46</c:v>
                </c:pt>
                <c:pt idx="1">
                  <c:v>6228.02</c:v>
                </c:pt>
                <c:pt idx="2">
                  <c:v>5791.88</c:v>
                </c:pt>
                <c:pt idx="3">
                  <c:v>5665.6149999999998</c:v>
                </c:pt>
                <c:pt idx="4">
                  <c:v>5567.08</c:v>
                </c:pt>
                <c:pt idx="5">
                  <c:v>5635.8649999999998</c:v>
                </c:pt>
                <c:pt idx="7">
                  <c:v>8725.82</c:v>
                </c:pt>
                <c:pt idx="8">
                  <c:v>10176.32</c:v>
                </c:pt>
                <c:pt idx="9">
                  <c:v>8733.1650000000009</c:v>
                </c:pt>
                <c:pt idx="10">
                  <c:v>7739.5450000000001</c:v>
                </c:pt>
                <c:pt idx="11">
                  <c:v>7034.83</c:v>
                </c:pt>
                <c:pt idx="12">
                  <c:v>7033.7800000000007</c:v>
                </c:pt>
                <c:pt idx="14">
                  <c:v>13600.279999999999</c:v>
                </c:pt>
                <c:pt idx="15">
                  <c:v>16404.34</c:v>
                </c:pt>
                <c:pt idx="16">
                  <c:v>14525.045</c:v>
                </c:pt>
                <c:pt idx="17">
                  <c:v>13405.16</c:v>
                </c:pt>
                <c:pt idx="18">
                  <c:v>12601.909999999998</c:v>
                </c:pt>
                <c:pt idx="19">
                  <c:v>12669.645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552896"/>
        <c:axId val="189554688"/>
      </c:barChart>
      <c:lineChart>
        <c:grouping val="standard"/>
        <c:varyColors val="0"/>
        <c:ser>
          <c:idx val="2"/>
          <c:order val="2"/>
          <c:tx>
            <c:strRef>
              <c:f>'Section 9 chart data'!$B$33:$F$33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9 chart data'!$F$35:$F$41,'Section 9 chart data'!$N$35:$N$41,'Section 9 chart data'!$T$35:$T$40)</c:f>
              <c:numCache>
                <c:formatCode>#,##0</c:formatCode>
                <c:ptCount val="20"/>
                <c:pt idx="0">
                  <c:v>5430.5519999999997</c:v>
                </c:pt>
                <c:pt idx="1">
                  <c:v>5757.2450000000008</c:v>
                </c:pt>
                <c:pt idx="2">
                  <c:v>5614.6799999999994</c:v>
                </c:pt>
                <c:pt idx="3">
                  <c:v>5730.5749999999998</c:v>
                </c:pt>
                <c:pt idx="4">
                  <c:v>5473.95</c:v>
                </c:pt>
                <c:pt idx="5">
                  <c:v>5501.7950000000001</c:v>
                </c:pt>
                <c:pt idx="7">
                  <c:v>11831.748</c:v>
                </c:pt>
                <c:pt idx="8">
                  <c:v>16324.52</c:v>
                </c:pt>
                <c:pt idx="9">
                  <c:v>14782.245000000001</c:v>
                </c:pt>
                <c:pt idx="10">
                  <c:v>15263.495000000001</c:v>
                </c:pt>
                <c:pt idx="11">
                  <c:v>14552.025000000001</c:v>
                </c:pt>
                <c:pt idx="12">
                  <c:v>11363.720000000001</c:v>
                </c:pt>
                <c:pt idx="14">
                  <c:v>17262.3</c:v>
                </c:pt>
                <c:pt idx="15">
                  <c:v>22081.764999999999</c:v>
                </c:pt>
                <c:pt idx="16">
                  <c:v>20396.925000000003</c:v>
                </c:pt>
                <c:pt idx="17">
                  <c:v>20994.07</c:v>
                </c:pt>
                <c:pt idx="18">
                  <c:v>20025.975000000002</c:v>
                </c:pt>
                <c:pt idx="19">
                  <c:v>16865.514999999999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2896"/>
        <c:axId val="189554688"/>
      </c:lineChart>
      <c:catAx>
        <c:axId val="189540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955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5136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540992"/>
        <c:crosses val="autoZero"/>
        <c:crossBetween val="between"/>
      </c:valAx>
      <c:catAx>
        <c:axId val="18955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89554688"/>
        <c:crosses val="autoZero"/>
        <c:auto val="0"/>
        <c:lblAlgn val="ctr"/>
        <c:lblOffset val="100"/>
        <c:noMultiLvlLbl val="0"/>
      </c:catAx>
      <c:valAx>
        <c:axId val="189554688"/>
        <c:scaling>
          <c:orientation val="minMax"/>
          <c:max val="10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55289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softwood forecast showing contribution by Aligned Area (FC+PS)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country'!$C$67:$H$67</c:f>
              <c:numCache>
                <c:formatCode>#,##0</c:formatCode>
                <c:ptCount val="6"/>
                <c:pt idx="0">
                  <c:v>407.041</c:v>
                </c:pt>
                <c:pt idx="1">
                  <c:v>379.16800000000001</c:v>
                </c:pt>
                <c:pt idx="2">
                  <c:v>563.53500000000008</c:v>
                </c:pt>
                <c:pt idx="3">
                  <c:v>495.911</c:v>
                </c:pt>
                <c:pt idx="4">
                  <c:v>366.94399999999996</c:v>
                </c:pt>
                <c:pt idx="5">
                  <c:v>296.97500000000002</c:v>
                </c:pt>
              </c:numCache>
            </c:numRef>
          </c:val>
        </c:ser>
        <c:ser>
          <c:idx val="1"/>
          <c:order val="1"/>
          <c:tx>
            <c:strRef>
              <c:f>'Section 9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country'!$C$68:$H$68</c:f>
              <c:numCache>
                <c:formatCode>#,##0</c:formatCode>
                <c:ptCount val="6"/>
                <c:pt idx="0">
                  <c:v>406.27600000000001</c:v>
                </c:pt>
                <c:pt idx="1">
                  <c:v>592.44100000000003</c:v>
                </c:pt>
                <c:pt idx="2">
                  <c:v>304.904</c:v>
                </c:pt>
                <c:pt idx="3">
                  <c:v>304.399</c:v>
                </c:pt>
                <c:pt idx="4">
                  <c:v>304.31399999999996</c:v>
                </c:pt>
                <c:pt idx="5">
                  <c:v>255.845</c:v>
                </c:pt>
              </c:numCache>
            </c:numRef>
          </c:val>
        </c:ser>
        <c:ser>
          <c:idx val="2"/>
          <c:order val="2"/>
          <c:tx>
            <c:strRef>
              <c:f>'Section 9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country'!$C$69:$H$69</c:f>
              <c:numCache>
                <c:formatCode>#,##0</c:formatCode>
                <c:ptCount val="6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</c:numCache>
            </c:numRef>
          </c:val>
        </c:ser>
        <c:ser>
          <c:idx val="3"/>
          <c:order val="3"/>
          <c:tx>
            <c:strRef>
              <c:f>'Section 9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country'!$C$70:$H$70</c:f>
              <c:numCache>
                <c:formatCode>#,##0</c:formatCode>
                <c:ptCount val="6"/>
                <c:pt idx="0">
                  <c:v>127.979</c:v>
                </c:pt>
                <c:pt idx="1">
                  <c:v>155.899</c:v>
                </c:pt>
                <c:pt idx="2">
                  <c:v>180.25900000000001</c:v>
                </c:pt>
                <c:pt idx="3">
                  <c:v>175.09199999999998</c:v>
                </c:pt>
                <c:pt idx="4">
                  <c:v>110.271</c:v>
                </c:pt>
                <c:pt idx="5">
                  <c:v>113.279</c:v>
                </c:pt>
              </c:numCache>
            </c:numRef>
          </c:val>
        </c:ser>
        <c:ser>
          <c:idx val="4"/>
          <c:order val="4"/>
          <c:tx>
            <c:strRef>
              <c:f>'Section 9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country'!$C$71:$H$71</c:f>
              <c:numCache>
                <c:formatCode>#,##0</c:formatCode>
                <c:ptCount val="6"/>
                <c:pt idx="0">
                  <c:v>25.514000000000003</c:v>
                </c:pt>
                <c:pt idx="1">
                  <c:v>55.722000000000001</c:v>
                </c:pt>
                <c:pt idx="2">
                  <c:v>29.957000000000001</c:v>
                </c:pt>
                <c:pt idx="3">
                  <c:v>33.829000000000001</c:v>
                </c:pt>
                <c:pt idx="4">
                  <c:v>34.227000000000004</c:v>
                </c:pt>
                <c:pt idx="5">
                  <c:v>25.134</c:v>
                </c:pt>
              </c:numCache>
            </c:numRef>
          </c:val>
        </c:ser>
        <c:ser>
          <c:idx val="5"/>
          <c:order val="5"/>
          <c:tx>
            <c:strRef>
              <c:f>'Section 9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country'!$C$72:$H$72</c:f>
              <c:numCache>
                <c:formatCode>#,##0</c:formatCode>
                <c:ptCount val="6"/>
                <c:pt idx="0">
                  <c:v>27.532</c:v>
                </c:pt>
                <c:pt idx="1">
                  <c:v>62.685000000000002</c:v>
                </c:pt>
                <c:pt idx="2">
                  <c:v>49.244</c:v>
                </c:pt>
                <c:pt idx="3">
                  <c:v>23.475999999999999</c:v>
                </c:pt>
                <c:pt idx="4">
                  <c:v>55.321999999999996</c:v>
                </c:pt>
                <c:pt idx="5">
                  <c:v>66.457000000000008</c:v>
                </c:pt>
              </c:numCache>
            </c:numRef>
          </c:val>
        </c:ser>
        <c:ser>
          <c:idx val="6"/>
          <c:order val="6"/>
          <c:tx>
            <c:strRef>
              <c:f>'Section 9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country'!$C$73:$H$73</c:f>
              <c:numCache>
                <c:formatCode>#,##0</c:formatCode>
                <c:ptCount val="6"/>
                <c:pt idx="0">
                  <c:v>174.13800000000001</c:v>
                </c:pt>
                <c:pt idx="1">
                  <c:v>154.935</c:v>
                </c:pt>
                <c:pt idx="2">
                  <c:v>186.46700000000001</c:v>
                </c:pt>
                <c:pt idx="3">
                  <c:v>112.44499999999999</c:v>
                </c:pt>
                <c:pt idx="4">
                  <c:v>106.086</c:v>
                </c:pt>
                <c:pt idx="5">
                  <c:v>141.87199999999999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country'!$C$74:$H$74</c:f>
              <c:numCache>
                <c:formatCode>#,##0</c:formatCode>
                <c:ptCount val="6"/>
                <c:pt idx="0">
                  <c:v>94.585999999999999</c:v>
                </c:pt>
                <c:pt idx="1">
                  <c:v>76.403000000000006</c:v>
                </c:pt>
                <c:pt idx="2">
                  <c:v>63.631</c:v>
                </c:pt>
                <c:pt idx="3">
                  <c:v>96.376000000000005</c:v>
                </c:pt>
                <c:pt idx="4">
                  <c:v>104.029</c:v>
                </c:pt>
                <c:pt idx="5">
                  <c:v>67.742999999999995</c:v>
                </c:pt>
              </c:numCache>
            </c:numRef>
          </c:val>
        </c:ser>
        <c:ser>
          <c:idx val="8"/>
          <c:order val="8"/>
          <c:tx>
            <c:strRef>
              <c:f>'Section 9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country'!$C$75:$H$75</c:f>
              <c:numCache>
                <c:formatCode>#,##0</c:formatCode>
                <c:ptCount val="6"/>
                <c:pt idx="0">
                  <c:v>818.62900000000002</c:v>
                </c:pt>
                <c:pt idx="1">
                  <c:v>738.75900000000001</c:v>
                </c:pt>
                <c:pt idx="2">
                  <c:v>676.61400000000003</c:v>
                </c:pt>
                <c:pt idx="3">
                  <c:v>773.03499999999997</c:v>
                </c:pt>
                <c:pt idx="4">
                  <c:v>827.86400000000003</c:v>
                </c:pt>
                <c:pt idx="5">
                  <c:v>731.29899999999998</c:v>
                </c:pt>
              </c:numCache>
            </c:numRef>
          </c:val>
        </c:ser>
        <c:ser>
          <c:idx val="9"/>
          <c:order val="9"/>
          <c:tx>
            <c:strRef>
              <c:f>'Section 9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country'!$C$76:$H$76</c:f>
              <c:numCache>
                <c:formatCode>#,##0</c:formatCode>
                <c:ptCount val="6"/>
                <c:pt idx="0">
                  <c:v>261.58300000000003</c:v>
                </c:pt>
                <c:pt idx="1">
                  <c:v>304.62400000000002</c:v>
                </c:pt>
                <c:pt idx="2">
                  <c:v>258.25800000000004</c:v>
                </c:pt>
                <c:pt idx="3">
                  <c:v>278.40100000000001</c:v>
                </c:pt>
                <c:pt idx="4">
                  <c:v>282.815</c:v>
                </c:pt>
                <c:pt idx="5">
                  <c:v>211.47899999999998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country'!$C$77:$H$77</c:f>
              <c:numCache>
                <c:formatCode>#,##0</c:formatCode>
                <c:ptCount val="6"/>
                <c:pt idx="0">
                  <c:v>274.88799999999998</c:v>
                </c:pt>
                <c:pt idx="1">
                  <c:v>206.20700000000002</c:v>
                </c:pt>
                <c:pt idx="2">
                  <c:v>229.96600000000001</c:v>
                </c:pt>
                <c:pt idx="3">
                  <c:v>323.50899999999996</c:v>
                </c:pt>
                <c:pt idx="4">
                  <c:v>233.29399999999998</c:v>
                </c:pt>
                <c:pt idx="5">
                  <c:v>215.06100000000001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country'!$C$78:$H$78</c:f>
              <c:numCache>
                <c:formatCode>#,##0</c:formatCode>
                <c:ptCount val="6"/>
                <c:pt idx="0">
                  <c:v>401.38900000000001</c:v>
                </c:pt>
                <c:pt idx="1">
                  <c:v>361.80200000000002</c:v>
                </c:pt>
                <c:pt idx="2">
                  <c:v>299.55099999999999</c:v>
                </c:pt>
                <c:pt idx="3">
                  <c:v>307.72800000000001</c:v>
                </c:pt>
                <c:pt idx="4">
                  <c:v>240.63800000000001</c:v>
                </c:pt>
                <c:pt idx="5">
                  <c:v>216.03199999999998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country'!$C$79:$H$79</c:f>
              <c:numCache>
                <c:formatCode>#,##0</c:formatCode>
                <c:ptCount val="6"/>
                <c:pt idx="0">
                  <c:v>587.85799999999995</c:v>
                </c:pt>
                <c:pt idx="1">
                  <c:v>549.98099999999999</c:v>
                </c:pt>
                <c:pt idx="2">
                  <c:v>516.08199999999999</c:v>
                </c:pt>
                <c:pt idx="3">
                  <c:v>430.43899999999996</c:v>
                </c:pt>
                <c:pt idx="4">
                  <c:v>575.42900000000009</c:v>
                </c:pt>
                <c:pt idx="5">
                  <c:v>353.23599999999999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country'!$C$80:$H$80</c:f>
              <c:numCache>
                <c:formatCode>#,##0</c:formatCode>
                <c:ptCount val="6"/>
                <c:pt idx="0">
                  <c:v>373.69299999999998</c:v>
                </c:pt>
                <c:pt idx="1">
                  <c:v>426.67600000000004</c:v>
                </c:pt>
                <c:pt idx="2">
                  <c:v>413.84699999999998</c:v>
                </c:pt>
                <c:pt idx="3">
                  <c:v>428.40299999999996</c:v>
                </c:pt>
                <c:pt idx="4">
                  <c:v>330.084</c:v>
                </c:pt>
                <c:pt idx="5">
                  <c:v>295.88100000000003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9602816"/>
        <c:axId val="189621376"/>
      </c:barChart>
      <c:catAx>
        <c:axId val="189602816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621376"/>
        <c:crosses val="autoZero"/>
        <c:auto val="1"/>
        <c:lblAlgn val="ctr"/>
        <c:lblOffset val="100"/>
        <c:noMultiLvlLbl val="0"/>
      </c:catAx>
      <c:valAx>
        <c:axId val="189621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602816"/>
        <c:crosses val="max"/>
        <c:crossBetween val="between"/>
      </c:valAx>
      <c:spPr>
        <a:noFill/>
        <a:ln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country'!$C$67:$H$67</c:f>
              <c:numCache>
                <c:formatCode>#,##0</c:formatCode>
                <c:ptCount val="6"/>
                <c:pt idx="0">
                  <c:v>407.041</c:v>
                </c:pt>
                <c:pt idx="1">
                  <c:v>379.16800000000001</c:v>
                </c:pt>
                <c:pt idx="2">
                  <c:v>563.53500000000008</c:v>
                </c:pt>
                <c:pt idx="3">
                  <c:v>495.911</c:v>
                </c:pt>
                <c:pt idx="4">
                  <c:v>366.94399999999996</c:v>
                </c:pt>
                <c:pt idx="5">
                  <c:v>296.97500000000002</c:v>
                </c:pt>
              </c:numCache>
            </c:numRef>
          </c:val>
        </c:ser>
        <c:ser>
          <c:idx val="1"/>
          <c:order val="1"/>
          <c:tx>
            <c:strRef>
              <c:f>'Section 9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country'!$C$68:$H$68</c:f>
              <c:numCache>
                <c:formatCode>#,##0</c:formatCode>
                <c:ptCount val="6"/>
                <c:pt idx="0">
                  <c:v>406.27600000000001</c:v>
                </c:pt>
                <c:pt idx="1">
                  <c:v>592.44100000000003</c:v>
                </c:pt>
                <c:pt idx="2">
                  <c:v>304.904</c:v>
                </c:pt>
                <c:pt idx="3">
                  <c:v>304.399</c:v>
                </c:pt>
                <c:pt idx="4">
                  <c:v>304.31399999999996</c:v>
                </c:pt>
                <c:pt idx="5">
                  <c:v>255.845</c:v>
                </c:pt>
              </c:numCache>
            </c:numRef>
          </c:val>
        </c:ser>
        <c:ser>
          <c:idx val="2"/>
          <c:order val="2"/>
          <c:tx>
            <c:strRef>
              <c:f>'Section 9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country'!$C$69:$H$69</c:f>
              <c:numCache>
                <c:formatCode>#,##0</c:formatCode>
                <c:ptCount val="6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</c:numCache>
            </c:numRef>
          </c:val>
        </c:ser>
        <c:ser>
          <c:idx val="3"/>
          <c:order val="3"/>
          <c:tx>
            <c:strRef>
              <c:f>'Section 9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country'!$C$70:$H$70</c:f>
              <c:numCache>
                <c:formatCode>#,##0</c:formatCode>
                <c:ptCount val="6"/>
                <c:pt idx="0">
                  <c:v>127.979</c:v>
                </c:pt>
                <c:pt idx="1">
                  <c:v>155.899</c:v>
                </c:pt>
                <c:pt idx="2">
                  <c:v>180.25900000000001</c:v>
                </c:pt>
                <c:pt idx="3">
                  <c:v>175.09199999999998</c:v>
                </c:pt>
                <c:pt idx="4">
                  <c:v>110.271</c:v>
                </c:pt>
                <c:pt idx="5">
                  <c:v>113.279</c:v>
                </c:pt>
              </c:numCache>
            </c:numRef>
          </c:val>
        </c:ser>
        <c:ser>
          <c:idx val="4"/>
          <c:order val="4"/>
          <c:tx>
            <c:strRef>
              <c:f>'Section 9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country'!$C$71:$H$71</c:f>
              <c:numCache>
                <c:formatCode>#,##0</c:formatCode>
                <c:ptCount val="6"/>
                <c:pt idx="0">
                  <c:v>25.514000000000003</c:v>
                </c:pt>
                <c:pt idx="1">
                  <c:v>55.722000000000001</c:v>
                </c:pt>
                <c:pt idx="2">
                  <c:v>29.957000000000001</c:v>
                </c:pt>
                <c:pt idx="3">
                  <c:v>33.829000000000001</c:v>
                </c:pt>
                <c:pt idx="4">
                  <c:v>34.227000000000004</c:v>
                </c:pt>
                <c:pt idx="5">
                  <c:v>25.134</c:v>
                </c:pt>
              </c:numCache>
            </c:numRef>
          </c:val>
        </c:ser>
        <c:ser>
          <c:idx val="5"/>
          <c:order val="5"/>
          <c:tx>
            <c:strRef>
              <c:f>'Section 9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country'!$C$72:$H$72</c:f>
              <c:numCache>
                <c:formatCode>#,##0</c:formatCode>
                <c:ptCount val="6"/>
                <c:pt idx="0">
                  <c:v>27.532</c:v>
                </c:pt>
                <c:pt idx="1">
                  <c:v>62.685000000000002</c:v>
                </c:pt>
                <c:pt idx="2">
                  <c:v>49.244</c:v>
                </c:pt>
                <c:pt idx="3">
                  <c:v>23.475999999999999</c:v>
                </c:pt>
                <c:pt idx="4">
                  <c:v>55.321999999999996</c:v>
                </c:pt>
                <c:pt idx="5">
                  <c:v>66.457000000000008</c:v>
                </c:pt>
              </c:numCache>
            </c:numRef>
          </c:val>
        </c:ser>
        <c:ser>
          <c:idx val="6"/>
          <c:order val="6"/>
          <c:tx>
            <c:strRef>
              <c:f>'Section 9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country'!$C$73:$H$73</c:f>
              <c:numCache>
                <c:formatCode>#,##0</c:formatCode>
                <c:ptCount val="6"/>
                <c:pt idx="0">
                  <c:v>174.13800000000001</c:v>
                </c:pt>
                <c:pt idx="1">
                  <c:v>154.935</c:v>
                </c:pt>
                <c:pt idx="2">
                  <c:v>186.46700000000001</c:v>
                </c:pt>
                <c:pt idx="3">
                  <c:v>112.44499999999999</c:v>
                </c:pt>
                <c:pt idx="4">
                  <c:v>106.086</c:v>
                </c:pt>
                <c:pt idx="5">
                  <c:v>141.87199999999999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country'!$C$74:$H$74</c:f>
              <c:numCache>
                <c:formatCode>#,##0</c:formatCode>
                <c:ptCount val="6"/>
                <c:pt idx="0">
                  <c:v>94.585999999999999</c:v>
                </c:pt>
                <c:pt idx="1">
                  <c:v>76.403000000000006</c:v>
                </c:pt>
                <c:pt idx="2">
                  <c:v>63.631</c:v>
                </c:pt>
                <c:pt idx="3">
                  <c:v>96.376000000000005</c:v>
                </c:pt>
                <c:pt idx="4">
                  <c:v>104.029</c:v>
                </c:pt>
                <c:pt idx="5">
                  <c:v>67.742999999999995</c:v>
                </c:pt>
              </c:numCache>
            </c:numRef>
          </c:val>
        </c:ser>
        <c:ser>
          <c:idx val="8"/>
          <c:order val="8"/>
          <c:tx>
            <c:strRef>
              <c:f>'Section 9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country'!$C$75:$H$75</c:f>
              <c:numCache>
                <c:formatCode>#,##0</c:formatCode>
                <c:ptCount val="6"/>
                <c:pt idx="0">
                  <c:v>818.62900000000002</c:v>
                </c:pt>
                <c:pt idx="1">
                  <c:v>738.75900000000001</c:v>
                </c:pt>
                <c:pt idx="2">
                  <c:v>676.61400000000003</c:v>
                </c:pt>
                <c:pt idx="3">
                  <c:v>773.03499999999997</c:v>
                </c:pt>
                <c:pt idx="4">
                  <c:v>827.86400000000003</c:v>
                </c:pt>
                <c:pt idx="5">
                  <c:v>731.29899999999998</c:v>
                </c:pt>
              </c:numCache>
            </c:numRef>
          </c:val>
        </c:ser>
        <c:ser>
          <c:idx val="9"/>
          <c:order val="9"/>
          <c:tx>
            <c:strRef>
              <c:f>'Section 9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country'!$C$76:$H$76</c:f>
              <c:numCache>
                <c:formatCode>#,##0</c:formatCode>
                <c:ptCount val="6"/>
                <c:pt idx="0">
                  <c:v>261.58300000000003</c:v>
                </c:pt>
                <c:pt idx="1">
                  <c:v>304.62400000000002</c:v>
                </c:pt>
                <c:pt idx="2">
                  <c:v>258.25800000000004</c:v>
                </c:pt>
                <c:pt idx="3">
                  <c:v>278.40100000000001</c:v>
                </c:pt>
                <c:pt idx="4">
                  <c:v>282.815</c:v>
                </c:pt>
                <c:pt idx="5">
                  <c:v>211.47899999999998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country'!$C$77:$H$77</c:f>
              <c:numCache>
                <c:formatCode>#,##0</c:formatCode>
                <c:ptCount val="6"/>
                <c:pt idx="0">
                  <c:v>274.88799999999998</c:v>
                </c:pt>
                <c:pt idx="1">
                  <c:v>206.20700000000002</c:v>
                </c:pt>
                <c:pt idx="2">
                  <c:v>229.96600000000001</c:v>
                </c:pt>
                <c:pt idx="3">
                  <c:v>323.50899999999996</c:v>
                </c:pt>
                <c:pt idx="4">
                  <c:v>233.29399999999998</c:v>
                </c:pt>
                <c:pt idx="5">
                  <c:v>215.06100000000001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country'!$C$78:$H$78</c:f>
              <c:numCache>
                <c:formatCode>#,##0</c:formatCode>
                <c:ptCount val="6"/>
                <c:pt idx="0">
                  <c:v>401.38900000000001</c:v>
                </c:pt>
                <c:pt idx="1">
                  <c:v>361.80200000000002</c:v>
                </c:pt>
                <c:pt idx="2">
                  <c:v>299.55099999999999</c:v>
                </c:pt>
                <c:pt idx="3">
                  <c:v>307.72800000000001</c:v>
                </c:pt>
                <c:pt idx="4">
                  <c:v>240.63800000000001</c:v>
                </c:pt>
                <c:pt idx="5">
                  <c:v>216.03199999999998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country'!$C$79:$H$79</c:f>
              <c:numCache>
                <c:formatCode>#,##0</c:formatCode>
                <c:ptCount val="6"/>
                <c:pt idx="0">
                  <c:v>587.85799999999995</c:v>
                </c:pt>
                <c:pt idx="1">
                  <c:v>549.98099999999999</c:v>
                </c:pt>
                <c:pt idx="2">
                  <c:v>516.08199999999999</c:v>
                </c:pt>
                <c:pt idx="3">
                  <c:v>430.43899999999996</c:v>
                </c:pt>
                <c:pt idx="4">
                  <c:v>575.42900000000009</c:v>
                </c:pt>
                <c:pt idx="5">
                  <c:v>353.23599999999999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country'!$C$63:$H$63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country'!$C$80:$H$80</c:f>
              <c:numCache>
                <c:formatCode>#,##0</c:formatCode>
                <c:ptCount val="6"/>
                <c:pt idx="0">
                  <c:v>373.69299999999998</c:v>
                </c:pt>
                <c:pt idx="1">
                  <c:v>426.67600000000004</c:v>
                </c:pt>
                <c:pt idx="2">
                  <c:v>413.84699999999998</c:v>
                </c:pt>
                <c:pt idx="3">
                  <c:v>428.40299999999996</c:v>
                </c:pt>
                <c:pt idx="4">
                  <c:v>330.084</c:v>
                </c:pt>
                <c:pt idx="5">
                  <c:v>295.88100000000003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9674240"/>
        <c:axId val="189676160"/>
      </c:barChart>
      <c:catAx>
        <c:axId val="18967424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676160"/>
        <c:crosses val="autoZero"/>
        <c:auto val="1"/>
        <c:lblAlgn val="ctr"/>
        <c:lblOffset val="100"/>
        <c:noMultiLvlLbl val="0"/>
      </c:catAx>
      <c:valAx>
        <c:axId val="189676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674240"/>
        <c:crosses val="max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5377212360689763"/>
          <c:y val="5.9242421396672691E-2"/>
          <c:w val="0.33802722165368893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softwood forecast showing contribution by Aligned Area (FC)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country'!$C$7:$H$7</c:f>
              <c:numCache>
                <c:formatCode>#,##0</c:formatCode>
                <c:ptCount val="6"/>
                <c:pt idx="0">
                  <c:v>169.035</c:v>
                </c:pt>
                <c:pt idx="1">
                  <c:v>120.30500000000001</c:v>
                </c:pt>
                <c:pt idx="2">
                  <c:v>143.113</c:v>
                </c:pt>
                <c:pt idx="3">
                  <c:v>145.471</c:v>
                </c:pt>
                <c:pt idx="4">
                  <c:v>109.753</c:v>
                </c:pt>
                <c:pt idx="5">
                  <c:v>130.58199999999999</c:v>
                </c:pt>
              </c:numCache>
            </c:numRef>
          </c:val>
        </c:ser>
        <c:ser>
          <c:idx val="1"/>
          <c:order val="1"/>
          <c:tx>
            <c:strRef>
              <c:f>'Section 9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country'!$C$8:$H$8</c:f>
              <c:numCache>
                <c:formatCode>#,##0</c:formatCode>
                <c:ptCount val="6"/>
                <c:pt idx="0">
                  <c:v>75.849000000000004</c:v>
                </c:pt>
                <c:pt idx="1">
                  <c:v>72.099999999999994</c:v>
                </c:pt>
                <c:pt idx="2">
                  <c:v>72.724000000000004</c:v>
                </c:pt>
                <c:pt idx="3">
                  <c:v>92.063000000000002</c:v>
                </c:pt>
                <c:pt idx="4">
                  <c:v>76.516999999999996</c:v>
                </c:pt>
                <c:pt idx="5">
                  <c:v>89.004999999999995</c:v>
                </c:pt>
              </c:numCache>
            </c:numRef>
          </c:val>
        </c:ser>
        <c:ser>
          <c:idx val="2"/>
          <c:order val="2"/>
          <c:tx>
            <c:strRef>
              <c:f>'Section 9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country'!$C$9:$H$9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</c:ser>
        <c:ser>
          <c:idx val="3"/>
          <c:order val="3"/>
          <c:tx>
            <c:strRef>
              <c:f>'Section 9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country'!$C$10:$H$10</c:f>
              <c:numCache>
                <c:formatCode>#,##0</c:formatCode>
                <c:ptCount val="6"/>
                <c:pt idx="0">
                  <c:v>47.417000000000002</c:v>
                </c:pt>
                <c:pt idx="1">
                  <c:v>51.014000000000003</c:v>
                </c:pt>
                <c:pt idx="2">
                  <c:v>45.317</c:v>
                </c:pt>
                <c:pt idx="3">
                  <c:v>38.831000000000003</c:v>
                </c:pt>
                <c:pt idx="4">
                  <c:v>47.055999999999997</c:v>
                </c:pt>
                <c:pt idx="5">
                  <c:v>33.167999999999999</c:v>
                </c:pt>
              </c:numCache>
            </c:numRef>
          </c:val>
        </c:ser>
        <c:ser>
          <c:idx val="4"/>
          <c:order val="4"/>
          <c:tx>
            <c:strRef>
              <c:f>'Section 9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country'!$C$11:$H$11</c:f>
              <c:numCache>
                <c:formatCode>#,##0</c:formatCode>
                <c:ptCount val="6"/>
                <c:pt idx="0">
                  <c:v>2.827</c:v>
                </c:pt>
                <c:pt idx="1">
                  <c:v>7.97</c:v>
                </c:pt>
                <c:pt idx="2">
                  <c:v>6.3460000000000001</c:v>
                </c:pt>
                <c:pt idx="3">
                  <c:v>4.5709999999999997</c:v>
                </c:pt>
                <c:pt idx="4">
                  <c:v>5.9619999999999997</c:v>
                </c:pt>
                <c:pt idx="5">
                  <c:v>5.3179999999999996</c:v>
                </c:pt>
              </c:numCache>
            </c:numRef>
          </c:val>
        </c:ser>
        <c:ser>
          <c:idx val="5"/>
          <c:order val="5"/>
          <c:tx>
            <c:strRef>
              <c:f>'Section 9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country'!$C$12:$H$12</c:f>
              <c:numCache>
                <c:formatCode>#,##0</c:formatCode>
                <c:ptCount val="6"/>
                <c:pt idx="0">
                  <c:v>0.47899999999999998</c:v>
                </c:pt>
                <c:pt idx="1">
                  <c:v>0.64900000000000002</c:v>
                </c:pt>
                <c:pt idx="2">
                  <c:v>0.48699999999999999</c:v>
                </c:pt>
                <c:pt idx="3">
                  <c:v>1.6120000000000001</c:v>
                </c:pt>
                <c:pt idx="4">
                  <c:v>2.3420000000000001</c:v>
                </c:pt>
                <c:pt idx="5">
                  <c:v>8.0280000000000005</c:v>
                </c:pt>
              </c:numCache>
            </c:numRef>
          </c:val>
        </c:ser>
        <c:ser>
          <c:idx val="6"/>
          <c:order val="6"/>
          <c:tx>
            <c:strRef>
              <c:f>'Section 9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country'!$C$13:$H$13</c:f>
              <c:numCache>
                <c:formatCode>#,##0</c:formatCode>
                <c:ptCount val="6"/>
                <c:pt idx="0">
                  <c:v>13.311999999999999</c:v>
                </c:pt>
                <c:pt idx="1">
                  <c:v>15.592000000000001</c:v>
                </c:pt>
                <c:pt idx="2">
                  <c:v>13.680999999999999</c:v>
                </c:pt>
                <c:pt idx="3">
                  <c:v>18.491</c:v>
                </c:pt>
                <c:pt idx="4">
                  <c:v>19.349</c:v>
                </c:pt>
                <c:pt idx="5">
                  <c:v>25.274999999999999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country'!$C$14:$H$14</c:f>
              <c:numCache>
                <c:formatCode>#,##0</c:formatCode>
                <c:ptCount val="6"/>
                <c:pt idx="0">
                  <c:v>27.157</c:v>
                </c:pt>
                <c:pt idx="1">
                  <c:v>18.818000000000001</c:v>
                </c:pt>
                <c:pt idx="2">
                  <c:v>21.478999999999999</c:v>
                </c:pt>
                <c:pt idx="3">
                  <c:v>25.933</c:v>
                </c:pt>
                <c:pt idx="4">
                  <c:v>23.922000000000001</c:v>
                </c:pt>
                <c:pt idx="5">
                  <c:v>20.381</c:v>
                </c:pt>
              </c:numCache>
            </c:numRef>
          </c:val>
        </c:ser>
        <c:ser>
          <c:idx val="8"/>
          <c:order val="8"/>
          <c:tx>
            <c:strRef>
              <c:f>'Section 9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country'!$C$15:$H$15</c:f>
              <c:numCache>
                <c:formatCode>#,##0</c:formatCode>
                <c:ptCount val="6"/>
                <c:pt idx="0">
                  <c:v>531.601</c:v>
                </c:pt>
                <c:pt idx="1">
                  <c:v>364.50599999999997</c:v>
                </c:pt>
                <c:pt idx="2">
                  <c:v>306.07900000000001</c:v>
                </c:pt>
                <c:pt idx="3">
                  <c:v>284.392</c:v>
                </c:pt>
                <c:pt idx="4">
                  <c:v>284.07400000000001</c:v>
                </c:pt>
                <c:pt idx="5">
                  <c:v>239.82499999999999</c:v>
                </c:pt>
              </c:numCache>
            </c:numRef>
          </c:val>
        </c:ser>
        <c:ser>
          <c:idx val="9"/>
          <c:order val="9"/>
          <c:tx>
            <c:strRef>
              <c:f>'Section 9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country'!$C$16:$H$16</c:f>
              <c:numCache>
                <c:formatCode>#,##0</c:formatCode>
                <c:ptCount val="6"/>
                <c:pt idx="0">
                  <c:v>45.831000000000003</c:v>
                </c:pt>
                <c:pt idx="1">
                  <c:v>60.098999999999997</c:v>
                </c:pt>
                <c:pt idx="2">
                  <c:v>50.536000000000001</c:v>
                </c:pt>
                <c:pt idx="3">
                  <c:v>60.746000000000002</c:v>
                </c:pt>
                <c:pt idx="4">
                  <c:v>62.706000000000003</c:v>
                </c:pt>
                <c:pt idx="5">
                  <c:v>74.778000000000006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country'!$C$17:$H$17</c:f>
              <c:numCache>
                <c:formatCode>#,##0</c:formatCode>
                <c:ptCount val="6"/>
                <c:pt idx="0">
                  <c:v>6.26</c:v>
                </c:pt>
                <c:pt idx="1">
                  <c:v>7.4960000000000004</c:v>
                </c:pt>
                <c:pt idx="2">
                  <c:v>7.3289999999999997</c:v>
                </c:pt>
                <c:pt idx="3">
                  <c:v>5.2220000000000004</c:v>
                </c:pt>
                <c:pt idx="4">
                  <c:v>6.5110000000000001</c:v>
                </c:pt>
                <c:pt idx="5">
                  <c:v>18.823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country'!$C$18:$H$18</c:f>
              <c:numCache>
                <c:formatCode>#,##0</c:formatCode>
                <c:ptCount val="6"/>
                <c:pt idx="0">
                  <c:v>49.295000000000002</c:v>
                </c:pt>
                <c:pt idx="1">
                  <c:v>49.463000000000001</c:v>
                </c:pt>
                <c:pt idx="2">
                  <c:v>51.792000000000002</c:v>
                </c:pt>
                <c:pt idx="3">
                  <c:v>62.314999999999998</c:v>
                </c:pt>
                <c:pt idx="4">
                  <c:v>53.054000000000002</c:v>
                </c:pt>
                <c:pt idx="5">
                  <c:v>60.503999999999998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country'!$C$19:$H$19</c:f>
              <c:numCache>
                <c:formatCode>#,##0</c:formatCode>
                <c:ptCount val="6"/>
                <c:pt idx="0">
                  <c:v>119.86199999999999</c:v>
                </c:pt>
                <c:pt idx="1">
                  <c:v>129.88900000000001</c:v>
                </c:pt>
                <c:pt idx="2">
                  <c:v>145.24</c:v>
                </c:pt>
                <c:pt idx="3">
                  <c:v>143.47499999999999</c:v>
                </c:pt>
                <c:pt idx="4">
                  <c:v>128.51900000000001</c:v>
                </c:pt>
                <c:pt idx="5">
                  <c:v>131.70500000000001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country'!$C$20:$H$20</c:f>
              <c:numCache>
                <c:formatCode>#,##0</c:formatCode>
                <c:ptCount val="6"/>
                <c:pt idx="0">
                  <c:v>100.446</c:v>
                </c:pt>
                <c:pt idx="1">
                  <c:v>103.867</c:v>
                </c:pt>
                <c:pt idx="2">
                  <c:v>116.056</c:v>
                </c:pt>
                <c:pt idx="3">
                  <c:v>99.02</c:v>
                </c:pt>
                <c:pt idx="4">
                  <c:v>111.05200000000001</c:v>
                </c:pt>
                <c:pt idx="5">
                  <c:v>93.95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9043840"/>
        <c:axId val="189045760"/>
      </c:barChart>
      <c:catAx>
        <c:axId val="18904384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045760"/>
        <c:crosses val="autoZero"/>
        <c:auto val="1"/>
        <c:lblAlgn val="ctr"/>
        <c:lblOffset val="100"/>
        <c:noMultiLvlLbl val="0"/>
      </c:catAx>
      <c:valAx>
        <c:axId val="189045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04384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country'!$C$7:$H$7</c:f>
              <c:numCache>
                <c:formatCode>#,##0</c:formatCode>
                <c:ptCount val="6"/>
                <c:pt idx="0">
                  <c:v>169.035</c:v>
                </c:pt>
                <c:pt idx="1">
                  <c:v>120.30500000000001</c:v>
                </c:pt>
                <c:pt idx="2">
                  <c:v>143.113</c:v>
                </c:pt>
                <c:pt idx="3">
                  <c:v>145.471</c:v>
                </c:pt>
                <c:pt idx="4">
                  <c:v>109.753</c:v>
                </c:pt>
                <c:pt idx="5">
                  <c:v>130.58199999999999</c:v>
                </c:pt>
              </c:numCache>
            </c:numRef>
          </c:val>
        </c:ser>
        <c:ser>
          <c:idx val="1"/>
          <c:order val="1"/>
          <c:tx>
            <c:strRef>
              <c:f>'Section 9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country'!$C$8:$H$8</c:f>
              <c:numCache>
                <c:formatCode>#,##0</c:formatCode>
                <c:ptCount val="6"/>
                <c:pt idx="0">
                  <c:v>75.849000000000004</c:v>
                </c:pt>
                <c:pt idx="1">
                  <c:v>72.099999999999994</c:v>
                </c:pt>
                <c:pt idx="2">
                  <c:v>72.724000000000004</c:v>
                </c:pt>
                <c:pt idx="3">
                  <c:v>92.063000000000002</c:v>
                </c:pt>
                <c:pt idx="4">
                  <c:v>76.516999999999996</c:v>
                </c:pt>
                <c:pt idx="5">
                  <c:v>89.004999999999995</c:v>
                </c:pt>
              </c:numCache>
            </c:numRef>
          </c:val>
        </c:ser>
        <c:ser>
          <c:idx val="2"/>
          <c:order val="2"/>
          <c:tx>
            <c:strRef>
              <c:f>'Section 9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country'!$C$9:$H$9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</c:ser>
        <c:ser>
          <c:idx val="3"/>
          <c:order val="3"/>
          <c:tx>
            <c:strRef>
              <c:f>'Section 9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country'!$C$10:$H$10</c:f>
              <c:numCache>
                <c:formatCode>#,##0</c:formatCode>
                <c:ptCount val="6"/>
                <c:pt idx="0">
                  <c:v>47.417000000000002</c:v>
                </c:pt>
                <c:pt idx="1">
                  <c:v>51.014000000000003</c:v>
                </c:pt>
                <c:pt idx="2">
                  <c:v>45.317</c:v>
                </c:pt>
                <c:pt idx="3">
                  <c:v>38.831000000000003</c:v>
                </c:pt>
                <c:pt idx="4">
                  <c:v>47.055999999999997</c:v>
                </c:pt>
                <c:pt idx="5">
                  <c:v>33.167999999999999</c:v>
                </c:pt>
              </c:numCache>
            </c:numRef>
          </c:val>
        </c:ser>
        <c:ser>
          <c:idx val="4"/>
          <c:order val="4"/>
          <c:tx>
            <c:strRef>
              <c:f>'Section 9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country'!$C$11:$H$11</c:f>
              <c:numCache>
                <c:formatCode>#,##0</c:formatCode>
                <c:ptCount val="6"/>
                <c:pt idx="0">
                  <c:v>2.827</c:v>
                </c:pt>
                <c:pt idx="1">
                  <c:v>7.97</c:v>
                </c:pt>
                <c:pt idx="2">
                  <c:v>6.3460000000000001</c:v>
                </c:pt>
                <c:pt idx="3">
                  <c:v>4.5709999999999997</c:v>
                </c:pt>
                <c:pt idx="4">
                  <c:v>5.9619999999999997</c:v>
                </c:pt>
                <c:pt idx="5">
                  <c:v>5.3179999999999996</c:v>
                </c:pt>
              </c:numCache>
            </c:numRef>
          </c:val>
        </c:ser>
        <c:ser>
          <c:idx val="5"/>
          <c:order val="5"/>
          <c:tx>
            <c:strRef>
              <c:f>'Section 9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country'!$C$12:$H$12</c:f>
              <c:numCache>
                <c:formatCode>#,##0</c:formatCode>
                <c:ptCount val="6"/>
                <c:pt idx="0">
                  <c:v>0.47899999999999998</c:v>
                </c:pt>
                <c:pt idx="1">
                  <c:v>0.64900000000000002</c:v>
                </c:pt>
                <c:pt idx="2">
                  <c:v>0.48699999999999999</c:v>
                </c:pt>
                <c:pt idx="3">
                  <c:v>1.6120000000000001</c:v>
                </c:pt>
                <c:pt idx="4">
                  <c:v>2.3420000000000001</c:v>
                </c:pt>
                <c:pt idx="5">
                  <c:v>8.0280000000000005</c:v>
                </c:pt>
              </c:numCache>
            </c:numRef>
          </c:val>
        </c:ser>
        <c:ser>
          <c:idx val="6"/>
          <c:order val="6"/>
          <c:tx>
            <c:strRef>
              <c:f>'Section 9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country'!$C$13:$H$13</c:f>
              <c:numCache>
                <c:formatCode>#,##0</c:formatCode>
                <c:ptCount val="6"/>
                <c:pt idx="0">
                  <c:v>13.311999999999999</c:v>
                </c:pt>
                <c:pt idx="1">
                  <c:v>15.592000000000001</c:v>
                </c:pt>
                <c:pt idx="2">
                  <c:v>13.680999999999999</c:v>
                </c:pt>
                <c:pt idx="3">
                  <c:v>18.491</c:v>
                </c:pt>
                <c:pt idx="4">
                  <c:v>19.349</c:v>
                </c:pt>
                <c:pt idx="5">
                  <c:v>25.274999999999999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country'!$C$14:$H$14</c:f>
              <c:numCache>
                <c:formatCode>#,##0</c:formatCode>
                <c:ptCount val="6"/>
                <c:pt idx="0">
                  <c:v>27.157</c:v>
                </c:pt>
                <c:pt idx="1">
                  <c:v>18.818000000000001</c:v>
                </c:pt>
                <c:pt idx="2">
                  <c:v>21.478999999999999</c:v>
                </c:pt>
                <c:pt idx="3">
                  <c:v>25.933</c:v>
                </c:pt>
                <c:pt idx="4">
                  <c:v>23.922000000000001</c:v>
                </c:pt>
                <c:pt idx="5">
                  <c:v>20.381</c:v>
                </c:pt>
              </c:numCache>
            </c:numRef>
          </c:val>
        </c:ser>
        <c:ser>
          <c:idx val="8"/>
          <c:order val="8"/>
          <c:tx>
            <c:strRef>
              <c:f>'Section 9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country'!$C$15:$H$15</c:f>
              <c:numCache>
                <c:formatCode>#,##0</c:formatCode>
                <c:ptCount val="6"/>
                <c:pt idx="0">
                  <c:v>531.601</c:v>
                </c:pt>
                <c:pt idx="1">
                  <c:v>364.50599999999997</c:v>
                </c:pt>
                <c:pt idx="2">
                  <c:v>306.07900000000001</c:v>
                </c:pt>
                <c:pt idx="3">
                  <c:v>284.392</c:v>
                </c:pt>
                <c:pt idx="4">
                  <c:v>284.07400000000001</c:v>
                </c:pt>
                <c:pt idx="5">
                  <c:v>239.82499999999999</c:v>
                </c:pt>
              </c:numCache>
            </c:numRef>
          </c:val>
        </c:ser>
        <c:ser>
          <c:idx val="9"/>
          <c:order val="9"/>
          <c:tx>
            <c:strRef>
              <c:f>'Section 9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country'!$C$16:$H$16</c:f>
              <c:numCache>
                <c:formatCode>#,##0</c:formatCode>
                <c:ptCount val="6"/>
                <c:pt idx="0">
                  <c:v>45.831000000000003</c:v>
                </c:pt>
                <c:pt idx="1">
                  <c:v>60.098999999999997</c:v>
                </c:pt>
                <c:pt idx="2">
                  <c:v>50.536000000000001</c:v>
                </c:pt>
                <c:pt idx="3">
                  <c:v>60.746000000000002</c:v>
                </c:pt>
                <c:pt idx="4">
                  <c:v>62.706000000000003</c:v>
                </c:pt>
                <c:pt idx="5">
                  <c:v>74.778000000000006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country'!$C$17:$H$17</c:f>
              <c:numCache>
                <c:formatCode>#,##0</c:formatCode>
                <c:ptCount val="6"/>
                <c:pt idx="0">
                  <c:v>6.26</c:v>
                </c:pt>
                <c:pt idx="1">
                  <c:v>7.4960000000000004</c:v>
                </c:pt>
                <c:pt idx="2">
                  <c:v>7.3289999999999997</c:v>
                </c:pt>
                <c:pt idx="3">
                  <c:v>5.2220000000000004</c:v>
                </c:pt>
                <c:pt idx="4">
                  <c:v>6.5110000000000001</c:v>
                </c:pt>
                <c:pt idx="5">
                  <c:v>18.823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country'!$C$18:$H$18</c:f>
              <c:numCache>
                <c:formatCode>#,##0</c:formatCode>
                <c:ptCount val="6"/>
                <c:pt idx="0">
                  <c:v>49.295000000000002</c:v>
                </c:pt>
                <c:pt idx="1">
                  <c:v>49.463000000000001</c:v>
                </c:pt>
                <c:pt idx="2">
                  <c:v>51.792000000000002</c:v>
                </c:pt>
                <c:pt idx="3">
                  <c:v>62.314999999999998</c:v>
                </c:pt>
                <c:pt idx="4">
                  <c:v>53.054000000000002</c:v>
                </c:pt>
                <c:pt idx="5">
                  <c:v>60.503999999999998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country'!$C$19:$H$19</c:f>
              <c:numCache>
                <c:formatCode>#,##0</c:formatCode>
                <c:ptCount val="6"/>
                <c:pt idx="0">
                  <c:v>119.86199999999999</c:v>
                </c:pt>
                <c:pt idx="1">
                  <c:v>129.88900000000001</c:v>
                </c:pt>
                <c:pt idx="2">
                  <c:v>145.24</c:v>
                </c:pt>
                <c:pt idx="3">
                  <c:v>143.47499999999999</c:v>
                </c:pt>
                <c:pt idx="4">
                  <c:v>128.51900000000001</c:v>
                </c:pt>
                <c:pt idx="5">
                  <c:v>131.70500000000001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country'!$C$3:$H$3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country'!$C$20:$H$20</c:f>
              <c:numCache>
                <c:formatCode>#,##0</c:formatCode>
                <c:ptCount val="6"/>
                <c:pt idx="0">
                  <c:v>100.446</c:v>
                </c:pt>
                <c:pt idx="1">
                  <c:v>103.867</c:v>
                </c:pt>
                <c:pt idx="2">
                  <c:v>116.056</c:v>
                </c:pt>
                <c:pt idx="3">
                  <c:v>99.02</c:v>
                </c:pt>
                <c:pt idx="4">
                  <c:v>111.05200000000001</c:v>
                </c:pt>
                <c:pt idx="5">
                  <c:v>93.95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8177024"/>
        <c:axId val="188199680"/>
      </c:barChart>
      <c:catAx>
        <c:axId val="188177024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8199680"/>
        <c:crosses val="autoZero"/>
        <c:auto val="1"/>
        <c:lblAlgn val="ctr"/>
        <c:lblOffset val="100"/>
        <c:noMultiLvlLbl val="0"/>
      </c:catAx>
      <c:valAx>
        <c:axId val="188199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8177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240534781699544"/>
          <c:y val="5.9242421396672691E-2"/>
          <c:w val="0.33939399744359117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softwood forecast showing contribution by Aligned Area (PS)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country'!$C$47:$H$47</c:f>
              <c:numCache>
                <c:formatCode>#,##0</c:formatCode>
                <c:ptCount val="6"/>
                <c:pt idx="0">
                  <c:v>238.006</c:v>
                </c:pt>
                <c:pt idx="1">
                  <c:v>258.863</c:v>
                </c:pt>
                <c:pt idx="2">
                  <c:v>420.42200000000003</c:v>
                </c:pt>
                <c:pt idx="3">
                  <c:v>350.44</c:v>
                </c:pt>
                <c:pt idx="4">
                  <c:v>257.19099999999997</c:v>
                </c:pt>
                <c:pt idx="5">
                  <c:v>166.393</c:v>
                </c:pt>
              </c:numCache>
            </c:numRef>
          </c:val>
        </c:ser>
        <c:ser>
          <c:idx val="1"/>
          <c:order val="1"/>
          <c:tx>
            <c:strRef>
              <c:f>'Section 9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country'!$C$48:$H$48</c:f>
              <c:numCache>
                <c:formatCode>#,##0</c:formatCode>
                <c:ptCount val="6"/>
                <c:pt idx="0">
                  <c:v>330.42700000000002</c:v>
                </c:pt>
                <c:pt idx="1">
                  <c:v>520.34100000000001</c:v>
                </c:pt>
                <c:pt idx="2">
                  <c:v>232.18</c:v>
                </c:pt>
                <c:pt idx="3">
                  <c:v>212.33600000000001</c:v>
                </c:pt>
                <c:pt idx="4">
                  <c:v>227.797</c:v>
                </c:pt>
                <c:pt idx="5">
                  <c:v>166.84</c:v>
                </c:pt>
              </c:numCache>
            </c:numRef>
          </c:val>
        </c:ser>
        <c:ser>
          <c:idx val="2"/>
          <c:order val="2"/>
          <c:tx>
            <c:strRef>
              <c:f>'Section 9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country'!$C$49:$H$49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</c:ser>
        <c:ser>
          <c:idx val="3"/>
          <c:order val="3"/>
          <c:tx>
            <c:strRef>
              <c:f>'Section 9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country'!$C$50:$H$50</c:f>
              <c:numCache>
                <c:formatCode>#,##0</c:formatCode>
                <c:ptCount val="6"/>
                <c:pt idx="0">
                  <c:v>80.561999999999998</c:v>
                </c:pt>
                <c:pt idx="1">
                  <c:v>104.88500000000001</c:v>
                </c:pt>
                <c:pt idx="2">
                  <c:v>134.94200000000001</c:v>
                </c:pt>
                <c:pt idx="3">
                  <c:v>136.261</c:v>
                </c:pt>
                <c:pt idx="4">
                  <c:v>63.215000000000003</c:v>
                </c:pt>
                <c:pt idx="5">
                  <c:v>80.111000000000004</c:v>
                </c:pt>
              </c:numCache>
            </c:numRef>
          </c:val>
        </c:ser>
        <c:ser>
          <c:idx val="4"/>
          <c:order val="4"/>
          <c:tx>
            <c:strRef>
              <c:f>'Section 9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country'!$C$51:$H$51</c:f>
              <c:numCache>
                <c:formatCode>#,##0</c:formatCode>
                <c:ptCount val="6"/>
                <c:pt idx="0">
                  <c:v>22.687000000000001</c:v>
                </c:pt>
                <c:pt idx="1">
                  <c:v>47.752000000000002</c:v>
                </c:pt>
                <c:pt idx="2">
                  <c:v>23.611000000000001</c:v>
                </c:pt>
                <c:pt idx="3">
                  <c:v>29.257999999999999</c:v>
                </c:pt>
                <c:pt idx="4">
                  <c:v>28.265000000000001</c:v>
                </c:pt>
                <c:pt idx="5">
                  <c:v>19.815999999999999</c:v>
                </c:pt>
              </c:numCache>
            </c:numRef>
          </c:val>
        </c:ser>
        <c:ser>
          <c:idx val="5"/>
          <c:order val="5"/>
          <c:tx>
            <c:strRef>
              <c:f>'Section 9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country'!$C$52:$H$52</c:f>
              <c:numCache>
                <c:formatCode>#,##0</c:formatCode>
                <c:ptCount val="6"/>
                <c:pt idx="0">
                  <c:v>27.053000000000001</c:v>
                </c:pt>
                <c:pt idx="1">
                  <c:v>62.036000000000001</c:v>
                </c:pt>
                <c:pt idx="2">
                  <c:v>48.756999999999998</c:v>
                </c:pt>
                <c:pt idx="3">
                  <c:v>21.864000000000001</c:v>
                </c:pt>
                <c:pt idx="4">
                  <c:v>52.98</c:v>
                </c:pt>
                <c:pt idx="5">
                  <c:v>58.429000000000002</c:v>
                </c:pt>
              </c:numCache>
            </c:numRef>
          </c:val>
        </c:ser>
        <c:ser>
          <c:idx val="6"/>
          <c:order val="6"/>
          <c:tx>
            <c:strRef>
              <c:f>'Section 9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country'!$C$53:$H$53</c:f>
              <c:numCache>
                <c:formatCode>#,##0</c:formatCode>
                <c:ptCount val="6"/>
                <c:pt idx="0">
                  <c:v>160.82599999999999</c:v>
                </c:pt>
                <c:pt idx="1">
                  <c:v>139.34299999999999</c:v>
                </c:pt>
                <c:pt idx="2">
                  <c:v>172.786</c:v>
                </c:pt>
                <c:pt idx="3">
                  <c:v>93.953999999999994</c:v>
                </c:pt>
                <c:pt idx="4">
                  <c:v>86.736999999999995</c:v>
                </c:pt>
                <c:pt idx="5">
                  <c:v>116.59699999999999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country'!$C$54:$H$54</c:f>
              <c:numCache>
                <c:formatCode>#,##0</c:formatCode>
                <c:ptCount val="6"/>
                <c:pt idx="0">
                  <c:v>67.429000000000002</c:v>
                </c:pt>
                <c:pt idx="1">
                  <c:v>57.585000000000001</c:v>
                </c:pt>
                <c:pt idx="2">
                  <c:v>42.152000000000001</c:v>
                </c:pt>
                <c:pt idx="3">
                  <c:v>70.442999999999998</c:v>
                </c:pt>
                <c:pt idx="4">
                  <c:v>80.106999999999999</c:v>
                </c:pt>
                <c:pt idx="5">
                  <c:v>47.362000000000002</c:v>
                </c:pt>
              </c:numCache>
            </c:numRef>
          </c:val>
        </c:ser>
        <c:ser>
          <c:idx val="8"/>
          <c:order val="8"/>
          <c:tx>
            <c:strRef>
              <c:f>'Section 9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country'!$C$55:$H$55</c:f>
              <c:numCache>
                <c:formatCode>#,##0</c:formatCode>
                <c:ptCount val="6"/>
                <c:pt idx="0">
                  <c:v>287.02800000000002</c:v>
                </c:pt>
                <c:pt idx="1">
                  <c:v>374.25299999999999</c:v>
                </c:pt>
                <c:pt idx="2">
                  <c:v>370.53500000000003</c:v>
                </c:pt>
                <c:pt idx="3">
                  <c:v>488.64299999999997</c:v>
                </c:pt>
                <c:pt idx="4">
                  <c:v>543.79</c:v>
                </c:pt>
                <c:pt idx="5">
                  <c:v>491.47399999999999</c:v>
                </c:pt>
              </c:numCache>
            </c:numRef>
          </c:val>
        </c:ser>
        <c:ser>
          <c:idx val="9"/>
          <c:order val="9"/>
          <c:tx>
            <c:strRef>
              <c:f>'Section 9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country'!$C$56:$H$56</c:f>
              <c:numCache>
                <c:formatCode>#,##0</c:formatCode>
                <c:ptCount val="6"/>
                <c:pt idx="0">
                  <c:v>215.75200000000001</c:v>
                </c:pt>
                <c:pt idx="1">
                  <c:v>244.52500000000001</c:v>
                </c:pt>
                <c:pt idx="2">
                  <c:v>207.72200000000001</c:v>
                </c:pt>
                <c:pt idx="3">
                  <c:v>217.655</c:v>
                </c:pt>
                <c:pt idx="4">
                  <c:v>220.10900000000001</c:v>
                </c:pt>
                <c:pt idx="5">
                  <c:v>136.70099999999999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country'!$C$57:$H$57</c:f>
              <c:numCache>
                <c:formatCode>#,##0</c:formatCode>
                <c:ptCount val="6"/>
                <c:pt idx="0">
                  <c:v>268.62799999999999</c:v>
                </c:pt>
                <c:pt idx="1">
                  <c:v>198.71100000000001</c:v>
                </c:pt>
                <c:pt idx="2">
                  <c:v>222.637</c:v>
                </c:pt>
                <c:pt idx="3">
                  <c:v>318.28699999999998</c:v>
                </c:pt>
                <c:pt idx="4">
                  <c:v>226.78299999999999</c:v>
                </c:pt>
                <c:pt idx="5">
                  <c:v>196.238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country'!$C$58:$H$58</c:f>
              <c:numCache>
                <c:formatCode>#,##0</c:formatCode>
                <c:ptCount val="6"/>
                <c:pt idx="0">
                  <c:v>352.09399999999999</c:v>
                </c:pt>
                <c:pt idx="1">
                  <c:v>312.339</c:v>
                </c:pt>
                <c:pt idx="2">
                  <c:v>247.75899999999999</c:v>
                </c:pt>
                <c:pt idx="3">
                  <c:v>245.41300000000001</c:v>
                </c:pt>
                <c:pt idx="4">
                  <c:v>187.584</c:v>
                </c:pt>
                <c:pt idx="5">
                  <c:v>155.52799999999999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country'!$C$59:$H$59</c:f>
              <c:numCache>
                <c:formatCode>#,##0</c:formatCode>
                <c:ptCount val="6"/>
                <c:pt idx="0">
                  <c:v>467.99599999999998</c:v>
                </c:pt>
                <c:pt idx="1">
                  <c:v>420.09199999999998</c:v>
                </c:pt>
                <c:pt idx="2">
                  <c:v>370.84199999999998</c:v>
                </c:pt>
                <c:pt idx="3">
                  <c:v>286.964</c:v>
                </c:pt>
                <c:pt idx="4">
                  <c:v>446.91</c:v>
                </c:pt>
                <c:pt idx="5">
                  <c:v>221.53100000000001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country'!$C$60:$H$60</c:f>
              <c:numCache>
                <c:formatCode>#,##0</c:formatCode>
                <c:ptCount val="6"/>
                <c:pt idx="0">
                  <c:v>273.24700000000001</c:v>
                </c:pt>
                <c:pt idx="1">
                  <c:v>322.80900000000003</c:v>
                </c:pt>
                <c:pt idx="2">
                  <c:v>297.791</c:v>
                </c:pt>
                <c:pt idx="3">
                  <c:v>329.38299999999998</c:v>
                </c:pt>
                <c:pt idx="4">
                  <c:v>219.03200000000001</c:v>
                </c:pt>
                <c:pt idx="5">
                  <c:v>201.93100000000001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9127680"/>
        <c:axId val="189408384"/>
      </c:barChart>
      <c:catAx>
        <c:axId val="18912768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408384"/>
        <c:crosses val="autoZero"/>
        <c:auto val="1"/>
        <c:lblAlgn val="ctr"/>
        <c:lblOffset val="100"/>
        <c:noMultiLvlLbl val="0"/>
      </c:catAx>
      <c:valAx>
        <c:axId val="189408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12768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9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country'!$C$47:$H$47</c:f>
              <c:numCache>
                <c:formatCode>#,##0</c:formatCode>
                <c:ptCount val="6"/>
                <c:pt idx="0">
                  <c:v>238.006</c:v>
                </c:pt>
                <c:pt idx="1">
                  <c:v>258.863</c:v>
                </c:pt>
                <c:pt idx="2">
                  <c:v>420.42200000000003</c:v>
                </c:pt>
                <c:pt idx="3">
                  <c:v>350.44</c:v>
                </c:pt>
                <c:pt idx="4">
                  <c:v>257.19099999999997</c:v>
                </c:pt>
                <c:pt idx="5">
                  <c:v>166.393</c:v>
                </c:pt>
              </c:numCache>
            </c:numRef>
          </c:val>
        </c:ser>
        <c:ser>
          <c:idx val="1"/>
          <c:order val="1"/>
          <c:tx>
            <c:strRef>
              <c:f>'Section 9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country'!$C$48:$H$48</c:f>
              <c:numCache>
                <c:formatCode>#,##0</c:formatCode>
                <c:ptCount val="6"/>
                <c:pt idx="0">
                  <c:v>330.42700000000002</c:v>
                </c:pt>
                <c:pt idx="1">
                  <c:v>520.34100000000001</c:v>
                </c:pt>
                <c:pt idx="2">
                  <c:v>232.18</c:v>
                </c:pt>
                <c:pt idx="3">
                  <c:v>212.33600000000001</c:v>
                </c:pt>
                <c:pt idx="4">
                  <c:v>227.797</c:v>
                </c:pt>
                <c:pt idx="5">
                  <c:v>166.84</c:v>
                </c:pt>
              </c:numCache>
            </c:numRef>
          </c:val>
        </c:ser>
        <c:ser>
          <c:idx val="2"/>
          <c:order val="2"/>
          <c:tx>
            <c:strRef>
              <c:f>'Section 9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country'!$C$49:$H$49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</c:ser>
        <c:ser>
          <c:idx val="3"/>
          <c:order val="3"/>
          <c:tx>
            <c:strRef>
              <c:f>'Section 9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country'!$C$50:$H$50</c:f>
              <c:numCache>
                <c:formatCode>#,##0</c:formatCode>
                <c:ptCount val="6"/>
                <c:pt idx="0">
                  <c:v>80.561999999999998</c:v>
                </c:pt>
                <c:pt idx="1">
                  <c:v>104.88500000000001</c:v>
                </c:pt>
                <c:pt idx="2">
                  <c:v>134.94200000000001</c:v>
                </c:pt>
                <c:pt idx="3">
                  <c:v>136.261</c:v>
                </c:pt>
                <c:pt idx="4">
                  <c:v>63.215000000000003</c:v>
                </c:pt>
                <c:pt idx="5">
                  <c:v>80.111000000000004</c:v>
                </c:pt>
              </c:numCache>
            </c:numRef>
          </c:val>
        </c:ser>
        <c:ser>
          <c:idx val="4"/>
          <c:order val="4"/>
          <c:tx>
            <c:strRef>
              <c:f>'Section 9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country'!$C$51:$H$51</c:f>
              <c:numCache>
                <c:formatCode>#,##0</c:formatCode>
                <c:ptCount val="6"/>
                <c:pt idx="0">
                  <c:v>22.687000000000001</c:v>
                </c:pt>
                <c:pt idx="1">
                  <c:v>47.752000000000002</c:v>
                </c:pt>
                <c:pt idx="2">
                  <c:v>23.611000000000001</c:v>
                </c:pt>
                <c:pt idx="3">
                  <c:v>29.257999999999999</c:v>
                </c:pt>
                <c:pt idx="4">
                  <c:v>28.265000000000001</c:v>
                </c:pt>
                <c:pt idx="5">
                  <c:v>19.815999999999999</c:v>
                </c:pt>
              </c:numCache>
            </c:numRef>
          </c:val>
        </c:ser>
        <c:ser>
          <c:idx val="5"/>
          <c:order val="5"/>
          <c:tx>
            <c:strRef>
              <c:f>'Section 9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country'!$C$52:$H$52</c:f>
              <c:numCache>
                <c:formatCode>#,##0</c:formatCode>
                <c:ptCount val="6"/>
                <c:pt idx="0">
                  <c:v>27.053000000000001</c:v>
                </c:pt>
                <c:pt idx="1">
                  <c:v>62.036000000000001</c:v>
                </c:pt>
                <c:pt idx="2">
                  <c:v>48.756999999999998</c:v>
                </c:pt>
                <c:pt idx="3">
                  <c:v>21.864000000000001</c:v>
                </c:pt>
                <c:pt idx="4">
                  <c:v>52.98</c:v>
                </c:pt>
                <c:pt idx="5">
                  <c:v>58.429000000000002</c:v>
                </c:pt>
              </c:numCache>
            </c:numRef>
          </c:val>
        </c:ser>
        <c:ser>
          <c:idx val="6"/>
          <c:order val="6"/>
          <c:tx>
            <c:strRef>
              <c:f>'Section 9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country'!$C$53:$H$53</c:f>
              <c:numCache>
                <c:formatCode>#,##0</c:formatCode>
                <c:ptCount val="6"/>
                <c:pt idx="0">
                  <c:v>160.82599999999999</c:v>
                </c:pt>
                <c:pt idx="1">
                  <c:v>139.34299999999999</c:v>
                </c:pt>
                <c:pt idx="2">
                  <c:v>172.786</c:v>
                </c:pt>
                <c:pt idx="3">
                  <c:v>93.953999999999994</c:v>
                </c:pt>
                <c:pt idx="4">
                  <c:v>86.736999999999995</c:v>
                </c:pt>
                <c:pt idx="5">
                  <c:v>116.59699999999999</c:v>
                </c:pt>
              </c:numCache>
            </c:numRef>
          </c:val>
        </c:ser>
        <c:ser>
          <c:idx val="7"/>
          <c:order val="7"/>
          <c:tx>
            <c:strRef>
              <c:f>'Section 9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country'!$C$54:$H$54</c:f>
              <c:numCache>
                <c:formatCode>#,##0</c:formatCode>
                <c:ptCount val="6"/>
                <c:pt idx="0">
                  <c:v>67.429000000000002</c:v>
                </c:pt>
                <c:pt idx="1">
                  <c:v>57.585000000000001</c:v>
                </c:pt>
                <c:pt idx="2">
                  <c:v>42.152000000000001</c:v>
                </c:pt>
                <c:pt idx="3">
                  <c:v>70.442999999999998</c:v>
                </c:pt>
                <c:pt idx="4">
                  <c:v>80.106999999999999</c:v>
                </c:pt>
                <c:pt idx="5">
                  <c:v>47.362000000000002</c:v>
                </c:pt>
              </c:numCache>
            </c:numRef>
          </c:val>
        </c:ser>
        <c:ser>
          <c:idx val="8"/>
          <c:order val="8"/>
          <c:tx>
            <c:strRef>
              <c:f>'Section 9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country'!$C$55:$H$55</c:f>
              <c:numCache>
                <c:formatCode>#,##0</c:formatCode>
                <c:ptCount val="6"/>
                <c:pt idx="0">
                  <c:v>287.02800000000002</c:v>
                </c:pt>
                <c:pt idx="1">
                  <c:v>374.25299999999999</c:v>
                </c:pt>
                <c:pt idx="2">
                  <c:v>370.53500000000003</c:v>
                </c:pt>
                <c:pt idx="3">
                  <c:v>488.64299999999997</c:v>
                </c:pt>
                <c:pt idx="4">
                  <c:v>543.79</c:v>
                </c:pt>
                <c:pt idx="5">
                  <c:v>491.47399999999999</c:v>
                </c:pt>
              </c:numCache>
            </c:numRef>
          </c:val>
        </c:ser>
        <c:ser>
          <c:idx val="9"/>
          <c:order val="9"/>
          <c:tx>
            <c:strRef>
              <c:f>'Section 9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country'!$C$56:$H$56</c:f>
              <c:numCache>
                <c:formatCode>#,##0</c:formatCode>
                <c:ptCount val="6"/>
                <c:pt idx="0">
                  <c:v>215.75200000000001</c:v>
                </c:pt>
                <c:pt idx="1">
                  <c:v>244.52500000000001</c:v>
                </c:pt>
                <c:pt idx="2">
                  <c:v>207.72200000000001</c:v>
                </c:pt>
                <c:pt idx="3">
                  <c:v>217.655</c:v>
                </c:pt>
                <c:pt idx="4">
                  <c:v>220.10900000000001</c:v>
                </c:pt>
                <c:pt idx="5">
                  <c:v>136.70099999999999</c:v>
                </c:pt>
              </c:numCache>
            </c:numRef>
          </c:val>
        </c:ser>
        <c:ser>
          <c:idx val="10"/>
          <c:order val="10"/>
          <c:tx>
            <c:strRef>
              <c:f>'Section 9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country'!$C$57:$H$57</c:f>
              <c:numCache>
                <c:formatCode>#,##0</c:formatCode>
                <c:ptCount val="6"/>
                <c:pt idx="0">
                  <c:v>268.62799999999999</c:v>
                </c:pt>
                <c:pt idx="1">
                  <c:v>198.71100000000001</c:v>
                </c:pt>
                <c:pt idx="2">
                  <c:v>222.637</c:v>
                </c:pt>
                <c:pt idx="3">
                  <c:v>318.28699999999998</c:v>
                </c:pt>
                <c:pt idx="4">
                  <c:v>226.78299999999999</c:v>
                </c:pt>
                <c:pt idx="5">
                  <c:v>196.238</c:v>
                </c:pt>
              </c:numCache>
            </c:numRef>
          </c:val>
        </c:ser>
        <c:ser>
          <c:idx val="11"/>
          <c:order val="11"/>
          <c:tx>
            <c:strRef>
              <c:f>'Section 9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country'!$C$58:$H$58</c:f>
              <c:numCache>
                <c:formatCode>#,##0</c:formatCode>
                <c:ptCount val="6"/>
                <c:pt idx="0">
                  <c:v>352.09399999999999</c:v>
                </c:pt>
                <c:pt idx="1">
                  <c:v>312.339</c:v>
                </c:pt>
                <c:pt idx="2">
                  <c:v>247.75899999999999</c:v>
                </c:pt>
                <c:pt idx="3">
                  <c:v>245.41300000000001</c:v>
                </c:pt>
                <c:pt idx="4">
                  <c:v>187.584</c:v>
                </c:pt>
                <c:pt idx="5">
                  <c:v>155.52799999999999</c:v>
                </c:pt>
              </c:numCache>
            </c:numRef>
          </c:val>
        </c:ser>
        <c:ser>
          <c:idx val="12"/>
          <c:order val="12"/>
          <c:tx>
            <c:strRef>
              <c:f>'Section 9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country'!$C$59:$H$59</c:f>
              <c:numCache>
                <c:formatCode>#,##0</c:formatCode>
                <c:ptCount val="6"/>
                <c:pt idx="0">
                  <c:v>467.99599999999998</c:v>
                </c:pt>
                <c:pt idx="1">
                  <c:v>420.09199999999998</c:v>
                </c:pt>
                <c:pt idx="2">
                  <c:v>370.84199999999998</c:v>
                </c:pt>
                <c:pt idx="3">
                  <c:v>286.964</c:v>
                </c:pt>
                <c:pt idx="4">
                  <c:v>446.91</c:v>
                </c:pt>
                <c:pt idx="5">
                  <c:v>221.53100000000001</c:v>
                </c:pt>
              </c:numCache>
            </c:numRef>
          </c:val>
        </c:ser>
        <c:ser>
          <c:idx val="13"/>
          <c:order val="13"/>
          <c:tx>
            <c:strRef>
              <c:f>'Section 9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data country'!$C$43:$H$43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data country'!$C$60:$H$60</c:f>
              <c:numCache>
                <c:formatCode>#,##0</c:formatCode>
                <c:ptCount val="6"/>
                <c:pt idx="0">
                  <c:v>273.24700000000001</c:v>
                </c:pt>
                <c:pt idx="1">
                  <c:v>322.80900000000003</c:v>
                </c:pt>
                <c:pt idx="2">
                  <c:v>297.791</c:v>
                </c:pt>
                <c:pt idx="3">
                  <c:v>329.38299999999998</c:v>
                </c:pt>
                <c:pt idx="4">
                  <c:v>219.03200000000001</c:v>
                </c:pt>
                <c:pt idx="5">
                  <c:v>201.93100000000001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0374656"/>
        <c:axId val="190376576"/>
      </c:barChart>
      <c:catAx>
        <c:axId val="190374656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0376576"/>
        <c:crosses val="autoZero"/>
        <c:auto val="1"/>
        <c:lblAlgn val="ctr"/>
        <c:lblOffset val="100"/>
        <c:noMultiLvlLbl val="0"/>
      </c:catAx>
      <c:valAx>
        <c:axId val="190376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03746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787245097660429"/>
          <c:y val="5.9242421396672691E-2"/>
          <c:w val="0.3339268942839822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50-year forecast of softwood timber availability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  <c:pt idx="6">
                  <c:v>1120.8820000000001</c:v>
                </c:pt>
                <c:pt idx="7">
                  <c:v>1071.3799999999999</c:v>
                </c:pt>
                <c:pt idx="8">
                  <c:v>903.8119999999999</c:v>
                </c:pt>
                <c:pt idx="9">
                  <c:v>1425.9059999999999</c:v>
                </c:pt>
                <c:pt idx="10">
                  <c:v>868.93399999999997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  <c:pt idx="6">
                  <c:v>1864.1179999999999</c:v>
                </c:pt>
                <c:pt idx="7">
                  <c:v>1537.9449999999999</c:v>
                </c:pt>
                <c:pt idx="8">
                  <c:v>1437.366</c:v>
                </c:pt>
                <c:pt idx="9">
                  <c:v>1622.8710000000001</c:v>
                </c:pt>
                <c:pt idx="10">
                  <c:v>1370.6420000000001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10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data'!$R$50:$R$60</c:f>
              <c:numCache>
                <c:formatCode>#,##0</c:formatCode>
                <c:ptCount val="11"/>
                <c:pt idx="0">
                  <c:v>4315.5749999999998</c:v>
                </c:pt>
                <c:pt idx="1">
                  <c:v>4416.3530000000001</c:v>
                </c:pt>
                <c:pt idx="2">
                  <c:v>4079.3850000000002</c:v>
                </c:pt>
                <c:pt idx="3">
                  <c:v>4198.8140000000003</c:v>
                </c:pt>
                <c:pt idx="4">
                  <c:v>4005.1950000000002</c:v>
                </c:pt>
                <c:pt idx="5">
                  <c:v>3373.1030000000001</c:v>
                </c:pt>
                <c:pt idx="6">
                  <c:v>2985</c:v>
                </c:pt>
                <c:pt idx="7">
                  <c:v>2609.3249999999998</c:v>
                </c:pt>
                <c:pt idx="8">
                  <c:v>2341.1779999999999</c:v>
                </c:pt>
                <c:pt idx="9">
                  <c:v>3048.777</c:v>
                </c:pt>
                <c:pt idx="10">
                  <c:v>2239.576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02816"/>
        <c:axId val="189204736"/>
      </c:lineChart>
      <c:catAx>
        <c:axId val="18920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204736"/>
        <c:crosses val="autoZero"/>
        <c:auto val="1"/>
        <c:lblAlgn val="ctr"/>
        <c:lblOffset val="100"/>
        <c:noMultiLvlLbl val="0"/>
      </c:catAx>
      <c:valAx>
        <c:axId val="18920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20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  <c:pt idx="6">
                  <c:v>1120.8820000000001</c:v>
                </c:pt>
                <c:pt idx="7">
                  <c:v>1071.3799999999999</c:v>
                </c:pt>
                <c:pt idx="8">
                  <c:v>903.8119999999999</c:v>
                </c:pt>
                <c:pt idx="9">
                  <c:v>1425.9059999999999</c:v>
                </c:pt>
                <c:pt idx="10">
                  <c:v>868.93399999999997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  <c:pt idx="6">
                  <c:v>1864.1179999999999</c:v>
                </c:pt>
                <c:pt idx="7">
                  <c:v>1537.9449999999999</c:v>
                </c:pt>
                <c:pt idx="8">
                  <c:v>1437.366</c:v>
                </c:pt>
                <c:pt idx="9">
                  <c:v>1622.8710000000001</c:v>
                </c:pt>
                <c:pt idx="10">
                  <c:v>1370.6420000000001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10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data'!$R$50:$R$60</c:f>
              <c:numCache>
                <c:formatCode>#,##0</c:formatCode>
                <c:ptCount val="11"/>
                <c:pt idx="0">
                  <c:v>4315.5749999999998</c:v>
                </c:pt>
                <c:pt idx="1">
                  <c:v>4416.3530000000001</c:v>
                </c:pt>
                <c:pt idx="2">
                  <c:v>4079.3850000000002</c:v>
                </c:pt>
                <c:pt idx="3">
                  <c:v>4198.8140000000003</c:v>
                </c:pt>
                <c:pt idx="4">
                  <c:v>4005.1950000000002</c:v>
                </c:pt>
                <c:pt idx="5">
                  <c:v>3373.1030000000001</c:v>
                </c:pt>
                <c:pt idx="6">
                  <c:v>2985</c:v>
                </c:pt>
                <c:pt idx="7">
                  <c:v>2609.3249999999998</c:v>
                </c:pt>
                <c:pt idx="8">
                  <c:v>2341.1779999999999</c:v>
                </c:pt>
                <c:pt idx="9">
                  <c:v>3048.777</c:v>
                </c:pt>
                <c:pt idx="10">
                  <c:v>2239.576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18720"/>
        <c:axId val="190720640"/>
      </c:lineChart>
      <c:catAx>
        <c:axId val="1907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0720640"/>
        <c:crosses val="autoZero"/>
        <c:auto val="1"/>
        <c:lblAlgn val="ctr"/>
        <c:lblOffset val="100"/>
        <c:noMultiLvlLbl val="0"/>
      </c:catAx>
      <c:valAx>
        <c:axId val="19072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071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softwood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  <c:pt idx="6">
                  <c:v>1120.8820000000001</c:v>
                </c:pt>
                <c:pt idx="7">
                  <c:v>1071.3799999999999</c:v>
                </c:pt>
                <c:pt idx="8">
                  <c:v>903.8119999999999</c:v>
                </c:pt>
                <c:pt idx="9">
                  <c:v>1425.9059999999999</c:v>
                </c:pt>
                <c:pt idx="10">
                  <c:v>868.93399999999997</c:v>
                </c:pt>
              </c:numCache>
            </c:numRef>
          </c:val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data'!$L$50:$L$60</c:f>
                <c:numCache>
                  <c:formatCode>General</c:formatCode>
                  <c:ptCount val="11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  <c:pt idx="6">
                    <c:v>112.00977207976615</c:v>
                  </c:pt>
                  <c:pt idx="7">
                    <c:v>82.670526564687364</c:v>
                  </c:pt>
                  <c:pt idx="8">
                    <c:v>81.281612868435644</c:v>
                  </c:pt>
                  <c:pt idx="9">
                    <c:v>96.116679961980282</c:v>
                  </c:pt>
                  <c:pt idx="10">
                    <c:v>81.873047071022469</c:v>
                  </c:pt>
                </c:numCache>
              </c:numRef>
            </c:plus>
            <c:minus>
              <c:numRef>
                <c:f>'Section 10 chart data'!$L$50:$L$60</c:f>
                <c:numCache>
                  <c:formatCode>General</c:formatCode>
                  <c:ptCount val="11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  <c:pt idx="6">
                    <c:v>112.00977207976615</c:v>
                  </c:pt>
                  <c:pt idx="7">
                    <c:v>82.670526564687364</c:v>
                  </c:pt>
                  <c:pt idx="8">
                    <c:v>81.281612868435644</c:v>
                  </c:pt>
                  <c:pt idx="9">
                    <c:v>96.116679961980282</c:v>
                  </c:pt>
                  <c:pt idx="10">
                    <c:v>81.873047071022469</c:v>
                  </c:pt>
                </c:numCache>
              </c:numRef>
            </c:minus>
          </c:errBars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  <c:pt idx="6">
                  <c:v>1864.1179999999999</c:v>
                </c:pt>
                <c:pt idx="7">
                  <c:v>1537.9449999999999</c:v>
                </c:pt>
                <c:pt idx="8">
                  <c:v>1437.366</c:v>
                </c:pt>
                <c:pt idx="9">
                  <c:v>1622.8710000000001</c:v>
                </c:pt>
                <c:pt idx="10">
                  <c:v>1370.6420000000001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9337984"/>
        <c:axId val="189339904"/>
      </c:barChart>
      <c:catAx>
        <c:axId val="18933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339904"/>
        <c:crosses val="autoZero"/>
        <c:auto val="1"/>
        <c:lblAlgn val="ctr"/>
        <c:lblOffset val="100"/>
        <c:noMultiLvlLbl val="0"/>
      </c:catAx>
      <c:valAx>
        <c:axId val="18933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33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Woodland by interpreted</a:t>
            </a:r>
            <a:r>
              <a:rPr lang="en-GB" baseline="0"/>
              <a:t> forest type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pieChart>
        <c:varyColors val="1"/>
        <c:ser>
          <c:idx val="0"/>
          <c:order val="0"/>
          <c:tx>
            <c:strRef>
              <c:f>'Eng Table 4'!$B$7</c:f>
              <c:strCache>
                <c:ptCount val="1"/>
                <c:pt idx="0">
                  <c:v>England</c:v>
                </c:pt>
              </c:strCache>
            </c:strRef>
          </c:tx>
          <c:dPt>
            <c:idx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'Eng 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4'!$C$8:$C$22</c:f>
              <c:numCache>
                <c:formatCode>#,##0</c:formatCode>
                <c:ptCount val="15"/>
                <c:pt idx="0">
                  <c:v>786995.26634359232</c:v>
                </c:pt>
                <c:pt idx="1">
                  <c:v>316174.70609343774</c:v>
                </c:pt>
                <c:pt idx="2">
                  <c:v>20256.773381101819</c:v>
                </c:pt>
                <c:pt idx="3">
                  <c:v>9433.6512678435429</c:v>
                </c:pt>
                <c:pt idx="4">
                  <c:v>22127.928688591506</c:v>
                </c:pt>
                <c:pt idx="5">
                  <c:v>28273.38107718858</c:v>
                </c:pt>
                <c:pt idx="6">
                  <c:v>75302.788354436096</c:v>
                </c:pt>
                <c:pt idx="7">
                  <c:v>2289.7086795212203</c:v>
                </c:pt>
                <c:pt idx="8">
                  <c:v>122.79757252259499</c:v>
                </c:pt>
                <c:pt idx="9">
                  <c:v>4783.1398685045406</c:v>
                </c:pt>
                <c:pt idx="10">
                  <c:v>27792.398034285721</c:v>
                </c:pt>
                <c:pt idx="11">
                  <c:v>4099.5551026040639</c:v>
                </c:pt>
                <c:pt idx="12">
                  <c:v>0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71923930923942"/>
          <c:y val="0.10030376921771236"/>
          <c:w val="0.20327010555649067"/>
          <c:h val="0.8076479510518488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1357.6379999999999</c:v>
                </c:pt>
                <c:pt idx="1">
                  <c:v>1151.4490000000001</c:v>
                </c:pt>
                <c:pt idx="2">
                  <c:v>1122.9359999999999</c:v>
                </c:pt>
                <c:pt idx="3">
                  <c:v>1146.115</c:v>
                </c:pt>
                <c:pt idx="4">
                  <c:v>1094.79</c:v>
                </c:pt>
                <c:pt idx="5">
                  <c:v>1100.3589999999999</c:v>
                </c:pt>
                <c:pt idx="6">
                  <c:v>1120.8820000000001</c:v>
                </c:pt>
                <c:pt idx="7">
                  <c:v>1071.3799999999999</c:v>
                </c:pt>
                <c:pt idx="8">
                  <c:v>903.8119999999999</c:v>
                </c:pt>
                <c:pt idx="9">
                  <c:v>1425.9059999999999</c:v>
                </c:pt>
                <c:pt idx="10">
                  <c:v>868.93399999999997</c:v>
                </c:pt>
              </c:numCache>
            </c:numRef>
          </c:val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data'!$L$50:$L$60</c:f>
                <c:numCache>
                  <c:formatCode>General</c:formatCode>
                  <c:ptCount val="11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  <c:pt idx="6">
                    <c:v>112.00977207976615</c:v>
                  </c:pt>
                  <c:pt idx="7">
                    <c:v>82.670526564687364</c:v>
                  </c:pt>
                  <c:pt idx="8">
                    <c:v>81.281612868435644</c:v>
                  </c:pt>
                  <c:pt idx="9">
                    <c:v>96.116679961980282</c:v>
                  </c:pt>
                  <c:pt idx="10">
                    <c:v>81.873047071022469</c:v>
                  </c:pt>
                </c:numCache>
              </c:numRef>
            </c:plus>
            <c:minus>
              <c:numRef>
                <c:f>'Section 10 chart data'!$L$50:$L$60</c:f>
                <c:numCache>
                  <c:formatCode>General</c:formatCode>
                  <c:ptCount val="11"/>
                  <c:pt idx="0">
                    <c:v>145.45751843762645</c:v>
                  </c:pt>
                  <c:pt idx="1">
                    <c:v>155.81188548653944</c:v>
                  </c:pt>
                  <c:pt idx="2">
                    <c:v>150.41650508813487</c:v>
                  </c:pt>
                  <c:pt idx="3">
                    <c:v>158.16874433273489</c:v>
                  </c:pt>
                  <c:pt idx="4">
                    <c:v>171.16334475887746</c:v>
                  </c:pt>
                  <c:pt idx="5">
                    <c:v>144.98809268198397</c:v>
                  </c:pt>
                  <c:pt idx="6">
                    <c:v>112.00977207976615</c:v>
                  </c:pt>
                  <c:pt idx="7">
                    <c:v>82.670526564687364</c:v>
                  </c:pt>
                  <c:pt idx="8">
                    <c:v>81.281612868435644</c:v>
                  </c:pt>
                  <c:pt idx="9">
                    <c:v>96.116679961980282</c:v>
                  </c:pt>
                  <c:pt idx="10">
                    <c:v>81.873047071022469</c:v>
                  </c:pt>
                </c:numCache>
              </c:numRef>
            </c:minus>
          </c:errBars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2957.9369999999999</c:v>
                </c:pt>
                <c:pt idx="1">
                  <c:v>3264.904</c:v>
                </c:pt>
                <c:pt idx="2">
                  <c:v>2956.4490000000001</c:v>
                </c:pt>
                <c:pt idx="3">
                  <c:v>3052.6990000000001</c:v>
                </c:pt>
                <c:pt idx="4">
                  <c:v>2910.4050000000002</c:v>
                </c:pt>
                <c:pt idx="5">
                  <c:v>2272.7440000000001</c:v>
                </c:pt>
                <c:pt idx="6">
                  <c:v>1864.1179999999999</c:v>
                </c:pt>
                <c:pt idx="7">
                  <c:v>1537.9449999999999</c:v>
                </c:pt>
                <c:pt idx="8">
                  <c:v>1437.366</c:v>
                </c:pt>
                <c:pt idx="9">
                  <c:v>1622.8710000000001</c:v>
                </c:pt>
                <c:pt idx="10">
                  <c:v>1370.6420000000001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0140800"/>
        <c:axId val="190142720"/>
      </c:barChart>
      <c:catAx>
        <c:axId val="1901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0142720"/>
        <c:crosses val="autoZero"/>
        <c:auto val="1"/>
        <c:lblAlgn val="ctr"/>
        <c:lblOffset val="100"/>
        <c:noMultiLvlLbl val="0"/>
      </c:catAx>
      <c:valAx>
        <c:axId val="190142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014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standing volume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data'!$D$20:$D$30</c:f>
              <c:numCache>
                <c:formatCode>#,##0</c:formatCode>
                <c:ptCount val="11"/>
                <c:pt idx="0">
                  <c:v>25206.851999999999</c:v>
                </c:pt>
                <c:pt idx="1">
                  <c:v>25788.648000000001</c:v>
                </c:pt>
                <c:pt idx="2">
                  <c:v>25916.34</c:v>
                </c:pt>
                <c:pt idx="3">
                  <c:v>25851.19</c:v>
                </c:pt>
                <c:pt idx="4">
                  <c:v>25799.938999999998</c:v>
                </c:pt>
                <c:pt idx="5">
                  <c:v>25945.727999999999</c:v>
                </c:pt>
                <c:pt idx="6">
                  <c:v>26005.738000000001</c:v>
                </c:pt>
                <c:pt idx="7">
                  <c:v>26504.087</c:v>
                </c:pt>
                <c:pt idx="8">
                  <c:v>27377.896000000001</c:v>
                </c:pt>
                <c:pt idx="9">
                  <c:v>28016.442999999999</c:v>
                </c:pt>
                <c:pt idx="10">
                  <c:v>28408.289000000001</c:v>
                </c:pt>
              </c:numCache>
            </c:numRef>
          </c:val>
        </c:ser>
        <c:ser>
          <c:idx val="1"/>
          <c:order val="1"/>
          <c:tx>
            <c:strRef>
              <c:f>'Section 10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data'!$L$20:$L$30</c:f>
                <c:numCache>
                  <c:formatCode>General</c:formatCode>
                  <c:ptCount val="11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  <c:pt idx="6">
                    <c:v>908.86089027791866</c:v>
                  </c:pt>
                  <c:pt idx="7">
                    <c:v>858.44813816801866</c:v>
                  </c:pt>
                  <c:pt idx="8">
                    <c:v>847.00774194762266</c:v>
                  </c:pt>
                  <c:pt idx="9">
                    <c:v>827.77249639541742</c:v>
                  </c:pt>
                  <c:pt idx="10">
                    <c:v>829.68577556679111</c:v>
                  </c:pt>
                </c:numCache>
              </c:numRef>
            </c:plus>
            <c:minus>
              <c:numRef>
                <c:f>'Section 10 chart data'!$L$20:$L$30</c:f>
                <c:numCache>
                  <c:formatCode>General</c:formatCode>
                  <c:ptCount val="11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  <c:pt idx="6">
                    <c:v>908.86089027791866</c:v>
                  </c:pt>
                  <c:pt idx="7">
                    <c:v>858.44813816801866</c:v>
                  </c:pt>
                  <c:pt idx="8">
                    <c:v>847.00774194762266</c:v>
                  </c:pt>
                  <c:pt idx="9">
                    <c:v>827.77249639541742</c:v>
                  </c:pt>
                  <c:pt idx="10">
                    <c:v>829.68577556679111</c:v>
                  </c:pt>
                </c:numCache>
              </c:numRef>
            </c:minus>
          </c:errBars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data'!$J$20:$J$30</c:f>
              <c:numCache>
                <c:formatCode>#,##0</c:formatCode>
                <c:ptCount val="11"/>
                <c:pt idx="0">
                  <c:v>60358.002999999997</c:v>
                </c:pt>
                <c:pt idx="1">
                  <c:v>56343.733999999997</c:v>
                </c:pt>
                <c:pt idx="2">
                  <c:v>49719.667999999998</c:v>
                </c:pt>
                <c:pt idx="3">
                  <c:v>42418.332999999999</c:v>
                </c:pt>
                <c:pt idx="4">
                  <c:v>35035.298999999999</c:v>
                </c:pt>
                <c:pt idx="5">
                  <c:v>29809.145</c:v>
                </c:pt>
                <c:pt idx="6">
                  <c:v>26772.332999999999</c:v>
                </c:pt>
                <c:pt idx="7">
                  <c:v>26468.185000000001</c:v>
                </c:pt>
                <c:pt idx="8">
                  <c:v>28290.923999999999</c:v>
                </c:pt>
                <c:pt idx="9">
                  <c:v>30517.106</c:v>
                </c:pt>
                <c:pt idx="10">
                  <c:v>33765.203000000001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934208"/>
        <c:axId val="187936128"/>
      </c:barChart>
      <c:catAx>
        <c:axId val="1879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7936128"/>
        <c:crosses val="autoZero"/>
        <c:auto val="1"/>
        <c:lblAlgn val="ctr"/>
        <c:lblOffset val="100"/>
        <c:noMultiLvlLbl val="0"/>
      </c:catAx>
      <c:valAx>
        <c:axId val="187936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793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data'!$D$20:$D$30</c:f>
              <c:numCache>
                <c:formatCode>#,##0</c:formatCode>
                <c:ptCount val="11"/>
                <c:pt idx="0">
                  <c:v>25206.851999999999</c:v>
                </c:pt>
                <c:pt idx="1">
                  <c:v>25788.648000000001</c:v>
                </c:pt>
                <c:pt idx="2">
                  <c:v>25916.34</c:v>
                </c:pt>
                <c:pt idx="3">
                  <c:v>25851.19</c:v>
                </c:pt>
                <c:pt idx="4">
                  <c:v>25799.938999999998</c:v>
                </c:pt>
                <c:pt idx="5">
                  <c:v>25945.727999999999</c:v>
                </c:pt>
                <c:pt idx="6">
                  <c:v>26005.738000000001</c:v>
                </c:pt>
                <c:pt idx="7">
                  <c:v>26504.087</c:v>
                </c:pt>
                <c:pt idx="8">
                  <c:v>27377.896000000001</c:v>
                </c:pt>
                <c:pt idx="9">
                  <c:v>28016.442999999999</c:v>
                </c:pt>
                <c:pt idx="10">
                  <c:v>28408.289000000001</c:v>
                </c:pt>
              </c:numCache>
            </c:numRef>
          </c:val>
        </c:ser>
        <c:ser>
          <c:idx val="1"/>
          <c:order val="1"/>
          <c:tx>
            <c:strRef>
              <c:f>'Section 10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data'!$L$20:$L$30</c:f>
                <c:numCache>
                  <c:formatCode>General</c:formatCode>
                  <c:ptCount val="11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  <c:pt idx="6">
                    <c:v>908.86089027791866</c:v>
                  </c:pt>
                  <c:pt idx="7">
                    <c:v>858.44813816801866</c:v>
                  </c:pt>
                  <c:pt idx="8">
                    <c:v>847.00774194762266</c:v>
                  </c:pt>
                  <c:pt idx="9">
                    <c:v>827.77249639541742</c:v>
                  </c:pt>
                  <c:pt idx="10">
                    <c:v>829.68577556679111</c:v>
                  </c:pt>
                </c:numCache>
              </c:numRef>
            </c:plus>
            <c:minus>
              <c:numRef>
                <c:f>'Section 10 chart data'!$L$20:$L$30</c:f>
                <c:numCache>
                  <c:formatCode>General</c:formatCode>
                  <c:ptCount val="11"/>
                  <c:pt idx="0">
                    <c:v>1495.5791882785106</c:v>
                  </c:pt>
                  <c:pt idx="1">
                    <c:v>1400.5975826988765</c:v>
                  </c:pt>
                  <c:pt idx="2">
                    <c:v>1339.6810217141008</c:v>
                  </c:pt>
                  <c:pt idx="3">
                    <c:v>1271.5067840366148</c:v>
                  </c:pt>
                  <c:pt idx="4">
                    <c:v>1148.6883154980524</c:v>
                  </c:pt>
                  <c:pt idx="5">
                    <c:v>998.20733333990154</c:v>
                  </c:pt>
                  <c:pt idx="6">
                    <c:v>908.86089027791866</c:v>
                  </c:pt>
                  <c:pt idx="7">
                    <c:v>858.44813816801866</c:v>
                  </c:pt>
                  <c:pt idx="8">
                    <c:v>847.00774194762266</c:v>
                  </c:pt>
                  <c:pt idx="9">
                    <c:v>827.77249639541742</c:v>
                  </c:pt>
                  <c:pt idx="10">
                    <c:v>829.68577556679111</c:v>
                  </c:pt>
                </c:numCache>
              </c:numRef>
            </c:minus>
          </c:errBars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data'!$J$20:$J$30</c:f>
              <c:numCache>
                <c:formatCode>#,##0</c:formatCode>
                <c:ptCount val="11"/>
                <c:pt idx="0">
                  <c:v>60358.002999999997</c:v>
                </c:pt>
                <c:pt idx="1">
                  <c:v>56343.733999999997</c:v>
                </c:pt>
                <c:pt idx="2">
                  <c:v>49719.667999999998</c:v>
                </c:pt>
                <c:pt idx="3">
                  <c:v>42418.332999999999</c:v>
                </c:pt>
                <c:pt idx="4">
                  <c:v>35035.298999999999</c:v>
                </c:pt>
                <c:pt idx="5">
                  <c:v>29809.145</c:v>
                </c:pt>
                <c:pt idx="6">
                  <c:v>26772.332999999999</c:v>
                </c:pt>
                <c:pt idx="7">
                  <c:v>26468.185000000001</c:v>
                </c:pt>
                <c:pt idx="8">
                  <c:v>28290.923999999999</c:v>
                </c:pt>
                <c:pt idx="9">
                  <c:v>30517.106</c:v>
                </c:pt>
                <c:pt idx="10">
                  <c:v>33765.203000000001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0539264"/>
        <c:axId val="190541184"/>
      </c:barChart>
      <c:catAx>
        <c:axId val="19053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0541184"/>
        <c:crosses val="autoZero"/>
        <c:auto val="1"/>
        <c:lblAlgn val="ctr"/>
        <c:lblOffset val="100"/>
        <c:noMultiLvlLbl val="0"/>
      </c:catAx>
      <c:valAx>
        <c:axId val="19054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053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net increment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data'!$D$35:$D$45</c:f>
              <c:numCache>
                <c:formatCode>#,##0</c:formatCode>
                <c:ptCount val="11"/>
                <c:pt idx="0">
                  <c:v>1218.615</c:v>
                </c:pt>
                <c:pt idx="1">
                  <c:v>1245.604</c:v>
                </c:pt>
                <c:pt idx="2">
                  <c:v>1158.376</c:v>
                </c:pt>
                <c:pt idx="3">
                  <c:v>1133.123</c:v>
                </c:pt>
                <c:pt idx="4">
                  <c:v>1113.4159999999999</c:v>
                </c:pt>
                <c:pt idx="5">
                  <c:v>1127.173</c:v>
                </c:pt>
                <c:pt idx="6">
                  <c:v>1144.18</c:v>
                </c:pt>
                <c:pt idx="7">
                  <c:v>1169.204</c:v>
                </c:pt>
                <c:pt idx="8">
                  <c:v>1192.557</c:v>
                </c:pt>
                <c:pt idx="9">
                  <c:v>1227.096</c:v>
                </c:pt>
                <c:pt idx="10">
                  <c:v>1242.3599999999999</c:v>
                </c:pt>
              </c:numCache>
            </c:numRef>
          </c:val>
        </c:ser>
        <c:ser>
          <c:idx val="1"/>
          <c:order val="1"/>
          <c:tx>
            <c:strRef>
              <c:f>'Section 10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data'!$L$35:$L$45</c:f>
                <c:numCache>
                  <c:formatCode>General</c:formatCode>
                  <c:ptCount val="11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  <c:pt idx="6">
                    <c:v>41.587995816931851</c:v>
                  </c:pt>
                  <c:pt idx="7">
                    <c:v>42.797607005136733</c:v>
                  </c:pt>
                  <c:pt idx="8">
                    <c:v>43.636100838050723</c:v>
                  </c:pt>
                  <c:pt idx="9">
                    <c:v>43.764934442231024</c:v>
                  </c:pt>
                  <c:pt idx="10">
                    <c:v>43.66588916785652</c:v>
                  </c:pt>
                </c:numCache>
              </c:numRef>
            </c:plus>
            <c:minus>
              <c:numRef>
                <c:f>'Section 10 chart data'!$L$35:$L$45</c:f>
                <c:numCache>
                  <c:formatCode>General</c:formatCode>
                  <c:ptCount val="11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  <c:pt idx="6">
                    <c:v>41.587995816931851</c:v>
                  </c:pt>
                  <c:pt idx="7">
                    <c:v>42.797607005136733</c:v>
                  </c:pt>
                  <c:pt idx="8">
                    <c:v>43.636100838050723</c:v>
                  </c:pt>
                  <c:pt idx="9">
                    <c:v>43.764934442231024</c:v>
                  </c:pt>
                  <c:pt idx="10">
                    <c:v>43.66588916785652</c:v>
                  </c:pt>
                </c:numCache>
              </c:numRef>
            </c:minus>
          </c:errBars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data'!$J$35:$J$45</c:f>
              <c:numCache>
                <c:formatCode>#,##0</c:formatCode>
                <c:ptCount val="11"/>
                <c:pt idx="0">
                  <c:v>2181.4549999999999</c:v>
                </c:pt>
                <c:pt idx="1">
                  <c:v>2035.2639999999999</c:v>
                </c:pt>
                <c:pt idx="2">
                  <c:v>1746.633</c:v>
                </c:pt>
                <c:pt idx="3">
                  <c:v>1547.9090000000001</c:v>
                </c:pt>
                <c:pt idx="4">
                  <c:v>1406.9659999999999</c:v>
                </c:pt>
                <c:pt idx="5">
                  <c:v>1406.7560000000001</c:v>
                </c:pt>
                <c:pt idx="6">
                  <c:v>1507.913</c:v>
                </c:pt>
                <c:pt idx="7">
                  <c:v>1688.3330000000001</c:v>
                </c:pt>
                <c:pt idx="8">
                  <c:v>1891.8689999999999</c:v>
                </c:pt>
                <c:pt idx="9">
                  <c:v>2071.4290000000001</c:v>
                </c:pt>
                <c:pt idx="10">
                  <c:v>2184.9119999999998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1301504"/>
        <c:axId val="191307776"/>
      </c:barChart>
      <c:catAx>
        <c:axId val="19130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307776"/>
        <c:crosses val="autoZero"/>
        <c:auto val="1"/>
        <c:lblAlgn val="ctr"/>
        <c:lblOffset val="100"/>
        <c:noMultiLvlLbl val="0"/>
      </c:catAx>
      <c:valAx>
        <c:axId val="19130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30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data'!$D$35:$D$45</c:f>
              <c:numCache>
                <c:formatCode>#,##0</c:formatCode>
                <c:ptCount val="11"/>
                <c:pt idx="0">
                  <c:v>1218.615</c:v>
                </c:pt>
                <c:pt idx="1">
                  <c:v>1245.604</c:v>
                </c:pt>
                <c:pt idx="2">
                  <c:v>1158.376</c:v>
                </c:pt>
                <c:pt idx="3">
                  <c:v>1133.123</c:v>
                </c:pt>
                <c:pt idx="4">
                  <c:v>1113.4159999999999</c:v>
                </c:pt>
                <c:pt idx="5">
                  <c:v>1127.173</c:v>
                </c:pt>
                <c:pt idx="6">
                  <c:v>1144.18</c:v>
                </c:pt>
                <c:pt idx="7">
                  <c:v>1169.204</c:v>
                </c:pt>
                <c:pt idx="8">
                  <c:v>1192.557</c:v>
                </c:pt>
                <c:pt idx="9">
                  <c:v>1227.096</c:v>
                </c:pt>
                <c:pt idx="10">
                  <c:v>1242.3599999999999</c:v>
                </c:pt>
              </c:numCache>
            </c:numRef>
          </c:val>
        </c:ser>
        <c:ser>
          <c:idx val="1"/>
          <c:order val="1"/>
          <c:tx>
            <c:strRef>
              <c:f>'Section 10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data'!$L$35:$L$45</c:f>
                <c:numCache>
                  <c:formatCode>General</c:formatCode>
                  <c:ptCount val="11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  <c:pt idx="6">
                    <c:v>41.587995816931851</c:v>
                  </c:pt>
                  <c:pt idx="7">
                    <c:v>42.797607005136733</c:v>
                  </c:pt>
                  <c:pt idx="8">
                    <c:v>43.636100838050723</c:v>
                  </c:pt>
                  <c:pt idx="9">
                    <c:v>43.764934442231024</c:v>
                  </c:pt>
                  <c:pt idx="10">
                    <c:v>43.66588916785652</c:v>
                  </c:pt>
                </c:numCache>
              </c:numRef>
            </c:plus>
            <c:minus>
              <c:numRef>
                <c:f>'Section 10 chart data'!$L$35:$L$45</c:f>
                <c:numCache>
                  <c:formatCode>General</c:formatCode>
                  <c:ptCount val="11"/>
                  <c:pt idx="0">
                    <c:v>49.547176348945044</c:v>
                  </c:pt>
                  <c:pt idx="1">
                    <c:v>49.099078012117673</c:v>
                  </c:pt>
                  <c:pt idx="2">
                    <c:v>47.044008273979756</c:v>
                  </c:pt>
                  <c:pt idx="3">
                    <c:v>44.453232686450221</c:v>
                  </c:pt>
                  <c:pt idx="4">
                    <c:v>42.018811790775779</c:v>
                  </c:pt>
                  <c:pt idx="5">
                    <c:v>40.68993719599662</c:v>
                  </c:pt>
                  <c:pt idx="6">
                    <c:v>41.587995816931851</c:v>
                  </c:pt>
                  <c:pt idx="7">
                    <c:v>42.797607005136733</c:v>
                  </c:pt>
                  <c:pt idx="8">
                    <c:v>43.636100838050723</c:v>
                  </c:pt>
                  <c:pt idx="9">
                    <c:v>43.764934442231024</c:v>
                  </c:pt>
                  <c:pt idx="10">
                    <c:v>43.66588916785652</c:v>
                  </c:pt>
                </c:numCache>
              </c:numRef>
            </c:minus>
          </c:errBars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data'!$J$35:$J$45</c:f>
              <c:numCache>
                <c:formatCode>#,##0</c:formatCode>
                <c:ptCount val="11"/>
                <c:pt idx="0">
                  <c:v>2181.4549999999999</c:v>
                </c:pt>
                <c:pt idx="1">
                  <c:v>2035.2639999999999</c:v>
                </c:pt>
                <c:pt idx="2">
                  <c:v>1746.633</c:v>
                </c:pt>
                <c:pt idx="3">
                  <c:v>1547.9090000000001</c:v>
                </c:pt>
                <c:pt idx="4">
                  <c:v>1406.9659999999999</c:v>
                </c:pt>
                <c:pt idx="5">
                  <c:v>1406.7560000000001</c:v>
                </c:pt>
                <c:pt idx="6">
                  <c:v>1507.913</c:v>
                </c:pt>
                <c:pt idx="7">
                  <c:v>1688.3330000000001</c:v>
                </c:pt>
                <c:pt idx="8">
                  <c:v>1891.8689999999999</c:v>
                </c:pt>
                <c:pt idx="9">
                  <c:v>2071.4290000000001</c:v>
                </c:pt>
                <c:pt idx="10">
                  <c:v>2184.9119999999998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1367040"/>
        <c:axId val="191377408"/>
      </c:barChart>
      <c:catAx>
        <c:axId val="19136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377408"/>
        <c:crosses val="autoZero"/>
        <c:auto val="1"/>
        <c:lblAlgn val="ctr"/>
        <c:lblOffset val="100"/>
        <c:noMultiLvlLbl val="0"/>
      </c:catAx>
      <c:valAx>
        <c:axId val="191377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36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>
                <a:effectLst/>
              </a:rPr>
              <a:t>50-year forecast of softwood standing volume, increment and availabilty</a:t>
            </a:r>
            <a:endParaRPr lang="en-GB" sz="14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10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10 chart data'!$C$20:$C$31,'Section 10 chart data'!$I$20:$I$31,'Section 10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10 chart data'!$D$5:$D$16,'Section 10 chart data'!$J$5:$J$16,'Section 10 chart data'!$R$5:$R$15)</c:f>
              <c:numCache>
                <c:formatCode>#,##0</c:formatCode>
                <c:ptCount val="35"/>
                <c:pt idx="0">
                  <c:v>26375.967000000001</c:v>
                </c:pt>
                <c:pt idx="1">
                  <c:v>26128.664000000001</c:v>
                </c:pt>
                <c:pt idx="2">
                  <c:v>26440.49</c:v>
                </c:pt>
                <c:pt idx="3">
                  <c:v>26570.198</c:v>
                </c:pt>
                <c:pt idx="4">
                  <c:v>26447.948</c:v>
                </c:pt>
                <c:pt idx="5">
                  <c:v>26500.928</c:v>
                </c:pt>
                <c:pt idx="6">
                  <c:v>26593.453000000001</c:v>
                </c:pt>
                <c:pt idx="7">
                  <c:v>26693.448</c:v>
                </c:pt>
                <c:pt idx="8">
                  <c:v>27161.638999999999</c:v>
                </c:pt>
                <c:pt idx="9">
                  <c:v>28594.845000000001</c:v>
                </c:pt>
                <c:pt idx="10">
                  <c:v>27574.493999999999</c:v>
                </c:pt>
                <c:pt idx="12">
                  <c:v>62706.601000000002</c:v>
                </c:pt>
                <c:pt idx="13">
                  <c:v>59600.669000000002</c:v>
                </c:pt>
                <c:pt idx="14">
                  <c:v>53334.332999999999</c:v>
                </c:pt>
                <c:pt idx="15">
                  <c:v>47285.254000000001</c:v>
                </c:pt>
                <c:pt idx="16">
                  <c:v>39761.31</c:v>
                </c:pt>
                <c:pt idx="17">
                  <c:v>32244.127</c:v>
                </c:pt>
                <c:pt idx="18">
                  <c:v>27914.174999999999</c:v>
                </c:pt>
                <c:pt idx="19">
                  <c:v>26133.159</c:v>
                </c:pt>
                <c:pt idx="20">
                  <c:v>26885.113000000001</c:v>
                </c:pt>
                <c:pt idx="21">
                  <c:v>29157.617999999999</c:v>
                </c:pt>
                <c:pt idx="22">
                  <c:v>31400.401999999998</c:v>
                </c:pt>
                <c:pt idx="24">
                  <c:v>89082.567999999999</c:v>
                </c:pt>
                <c:pt idx="25">
                  <c:v>85729.332999999999</c:v>
                </c:pt>
                <c:pt idx="26">
                  <c:v>79774.823000000004</c:v>
                </c:pt>
                <c:pt idx="27">
                  <c:v>73855.452000000005</c:v>
                </c:pt>
                <c:pt idx="28">
                  <c:v>66209.258000000002</c:v>
                </c:pt>
                <c:pt idx="29">
                  <c:v>58745.055</c:v>
                </c:pt>
                <c:pt idx="30">
                  <c:v>54507.627999999997</c:v>
                </c:pt>
                <c:pt idx="31">
                  <c:v>52826.607000000004</c:v>
                </c:pt>
                <c:pt idx="32">
                  <c:v>54046.752</c:v>
                </c:pt>
                <c:pt idx="33">
                  <c:v>57752.463000000003</c:v>
                </c:pt>
                <c:pt idx="34">
                  <c:v>58974.895999999993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8648832"/>
        <c:axId val="188651008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10 chart data'!$B$33:$F$33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10 chart data'!$F$35:$F$46,'Section 10 chart data'!$N$35:$N$46,'Section 10 chart data'!$T$35:$T$45)</c:f>
              <c:numCache>
                <c:formatCode>#,##0</c:formatCode>
                <c:ptCount val="35"/>
                <c:pt idx="0">
                  <c:v>4874.46</c:v>
                </c:pt>
                <c:pt idx="1">
                  <c:v>6228.02</c:v>
                </c:pt>
                <c:pt idx="2">
                  <c:v>5791.88</c:v>
                </c:pt>
                <c:pt idx="3">
                  <c:v>5665.6149999999998</c:v>
                </c:pt>
                <c:pt idx="4">
                  <c:v>5567.08</c:v>
                </c:pt>
                <c:pt idx="5">
                  <c:v>5635.8649999999998</c:v>
                </c:pt>
                <c:pt idx="6">
                  <c:v>5720.9000000000005</c:v>
                </c:pt>
                <c:pt idx="7">
                  <c:v>5846.0199999999995</c:v>
                </c:pt>
                <c:pt idx="8">
                  <c:v>5962.7849999999999</c:v>
                </c:pt>
                <c:pt idx="9">
                  <c:v>6135.48</c:v>
                </c:pt>
                <c:pt idx="10">
                  <c:v>6211.7999999999993</c:v>
                </c:pt>
                <c:pt idx="12">
                  <c:v>8725.82</c:v>
                </c:pt>
                <c:pt idx="13">
                  <c:v>10176.32</c:v>
                </c:pt>
                <c:pt idx="14">
                  <c:v>8733.1650000000009</c:v>
                </c:pt>
                <c:pt idx="15">
                  <c:v>7739.5450000000001</c:v>
                </c:pt>
                <c:pt idx="16">
                  <c:v>7034.83</c:v>
                </c:pt>
                <c:pt idx="17">
                  <c:v>7033.7800000000007</c:v>
                </c:pt>
                <c:pt idx="18">
                  <c:v>7539.5650000000005</c:v>
                </c:pt>
                <c:pt idx="19">
                  <c:v>8441.6650000000009</c:v>
                </c:pt>
                <c:pt idx="20">
                  <c:v>9459.3449999999993</c:v>
                </c:pt>
                <c:pt idx="21">
                  <c:v>10357.145</c:v>
                </c:pt>
                <c:pt idx="22">
                  <c:v>10924.56</c:v>
                </c:pt>
                <c:pt idx="24">
                  <c:v>13600.279999999999</c:v>
                </c:pt>
                <c:pt idx="25">
                  <c:v>16404.34</c:v>
                </c:pt>
                <c:pt idx="26">
                  <c:v>14525.045</c:v>
                </c:pt>
                <c:pt idx="27">
                  <c:v>13405.16</c:v>
                </c:pt>
                <c:pt idx="28">
                  <c:v>12601.909999999998</c:v>
                </c:pt>
                <c:pt idx="29">
                  <c:v>12669.645</c:v>
                </c:pt>
                <c:pt idx="30">
                  <c:v>13260.465</c:v>
                </c:pt>
                <c:pt idx="31">
                  <c:v>14287.685000000001</c:v>
                </c:pt>
                <c:pt idx="32">
                  <c:v>15422.13</c:v>
                </c:pt>
                <c:pt idx="33">
                  <c:v>16492.625</c:v>
                </c:pt>
                <c:pt idx="34">
                  <c:v>17136.36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652544"/>
        <c:axId val="188666624"/>
      </c:barChart>
      <c:lineChart>
        <c:grouping val="standard"/>
        <c:varyColors val="0"/>
        <c:ser>
          <c:idx val="2"/>
          <c:order val="2"/>
          <c:tx>
            <c:strRef>
              <c:f>'Section 10 chart data'!$B$48:$F$48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10 chart data'!$F$50:$F$61,'Section 10 chart data'!$N$50:$N$61,'Section 10 chart data'!$T$50:$T$60)</c:f>
              <c:numCache>
                <c:formatCode>#,##0</c:formatCode>
                <c:ptCount val="35"/>
                <c:pt idx="0">
                  <c:v>5430.5519999999997</c:v>
                </c:pt>
                <c:pt idx="1">
                  <c:v>5757.2450000000008</c:v>
                </c:pt>
                <c:pt idx="2">
                  <c:v>5614.6799999999994</c:v>
                </c:pt>
                <c:pt idx="3">
                  <c:v>5730.5749999999998</c:v>
                </c:pt>
                <c:pt idx="4">
                  <c:v>5473.95</c:v>
                </c:pt>
                <c:pt idx="5">
                  <c:v>5501.7950000000001</c:v>
                </c:pt>
                <c:pt idx="6">
                  <c:v>5604.41</c:v>
                </c:pt>
                <c:pt idx="7">
                  <c:v>5356.9</c:v>
                </c:pt>
                <c:pt idx="8">
                  <c:v>4519.0599999999995</c:v>
                </c:pt>
                <c:pt idx="9">
                  <c:v>7129.53</c:v>
                </c:pt>
                <c:pt idx="10">
                  <c:v>4344.67</c:v>
                </c:pt>
                <c:pt idx="12">
                  <c:v>11831.748</c:v>
                </c:pt>
                <c:pt idx="13">
                  <c:v>16324.52</c:v>
                </c:pt>
                <c:pt idx="14">
                  <c:v>14782.245000000001</c:v>
                </c:pt>
                <c:pt idx="15">
                  <c:v>15263.495000000001</c:v>
                </c:pt>
                <c:pt idx="16">
                  <c:v>14552.025000000001</c:v>
                </c:pt>
                <c:pt idx="17">
                  <c:v>11363.720000000001</c:v>
                </c:pt>
                <c:pt idx="18">
                  <c:v>9320.59</c:v>
                </c:pt>
                <c:pt idx="19">
                  <c:v>7689.7249999999995</c:v>
                </c:pt>
                <c:pt idx="20">
                  <c:v>7186.83</c:v>
                </c:pt>
                <c:pt idx="21">
                  <c:v>8114.3550000000005</c:v>
                </c:pt>
                <c:pt idx="22">
                  <c:v>6853.21</c:v>
                </c:pt>
                <c:pt idx="24">
                  <c:v>17262.3</c:v>
                </c:pt>
                <c:pt idx="25">
                  <c:v>22081.764999999999</c:v>
                </c:pt>
                <c:pt idx="26">
                  <c:v>20396.925000000003</c:v>
                </c:pt>
                <c:pt idx="27">
                  <c:v>20994.07</c:v>
                </c:pt>
                <c:pt idx="28">
                  <c:v>20025.975000000002</c:v>
                </c:pt>
                <c:pt idx="29">
                  <c:v>16865.514999999999</c:v>
                </c:pt>
                <c:pt idx="30">
                  <c:v>14925</c:v>
                </c:pt>
                <c:pt idx="31">
                  <c:v>13046.625</c:v>
                </c:pt>
                <c:pt idx="32">
                  <c:v>11705.89</c:v>
                </c:pt>
                <c:pt idx="33">
                  <c:v>15243.885</c:v>
                </c:pt>
                <c:pt idx="34">
                  <c:v>11197.880000000001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52544"/>
        <c:axId val="188666624"/>
      </c:lineChart>
      <c:catAx>
        <c:axId val="188648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aseline="0"/>
            </a:pPr>
            <a:endParaRPr lang="en-US"/>
          </a:p>
        </c:txPr>
        <c:crossAx val="18865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651008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188648832"/>
        <c:crosses val="autoZero"/>
        <c:crossBetween val="between"/>
      </c:valAx>
      <c:catAx>
        <c:axId val="18865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666624"/>
        <c:crosses val="autoZero"/>
        <c:auto val="0"/>
        <c:lblAlgn val="ctr"/>
        <c:lblOffset val="100"/>
        <c:noMultiLvlLbl val="0"/>
      </c:catAx>
      <c:valAx>
        <c:axId val="188666624"/>
        <c:scaling>
          <c:orientation val="minMax"/>
          <c:max val="10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18865254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10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10 chart data'!$C$20:$C$31,'Section 10 chart data'!$I$20:$I$31,'Section 10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10 chart data'!$D$5:$D$16,'Section 10 chart data'!$J$5:$J$16,'Section 10 chart data'!$R$5:$R$15)</c:f>
              <c:numCache>
                <c:formatCode>#,##0</c:formatCode>
                <c:ptCount val="35"/>
                <c:pt idx="0">
                  <c:v>26375.967000000001</c:v>
                </c:pt>
                <c:pt idx="1">
                  <c:v>26128.664000000001</c:v>
                </c:pt>
                <c:pt idx="2">
                  <c:v>26440.49</c:v>
                </c:pt>
                <c:pt idx="3">
                  <c:v>26570.198</c:v>
                </c:pt>
                <c:pt idx="4">
                  <c:v>26447.948</c:v>
                </c:pt>
                <c:pt idx="5">
                  <c:v>26500.928</c:v>
                </c:pt>
                <c:pt idx="6">
                  <c:v>26593.453000000001</c:v>
                </c:pt>
                <c:pt idx="7">
                  <c:v>26693.448</c:v>
                </c:pt>
                <c:pt idx="8">
                  <c:v>27161.638999999999</c:v>
                </c:pt>
                <c:pt idx="9">
                  <c:v>28594.845000000001</c:v>
                </c:pt>
                <c:pt idx="10">
                  <c:v>27574.493999999999</c:v>
                </c:pt>
                <c:pt idx="12">
                  <c:v>62706.601000000002</c:v>
                </c:pt>
                <c:pt idx="13">
                  <c:v>59600.669000000002</c:v>
                </c:pt>
                <c:pt idx="14">
                  <c:v>53334.332999999999</c:v>
                </c:pt>
                <c:pt idx="15">
                  <c:v>47285.254000000001</c:v>
                </c:pt>
                <c:pt idx="16">
                  <c:v>39761.31</c:v>
                </c:pt>
                <c:pt idx="17">
                  <c:v>32244.127</c:v>
                </c:pt>
                <c:pt idx="18">
                  <c:v>27914.174999999999</c:v>
                </c:pt>
                <c:pt idx="19">
                  <c:v>26133.159</c:v>
                </c:pt>
                <c:pt idx="20">
                  <c:v>26885.113000000001</c:v>
                </c:pt>
                <c:pt idx="21">
                  <c:v>29157.617999999999</c:v>
                </c:pt>
                <c:pt idx="22">
                  <c:v>31400.401999999998</c:v>
                </c:pt>
                <c:pt idx="24">
                  <c:v>89082.567999999999</c:v>
                </c:pt>
                <c:pt idx="25">
                  <c:v>85729.332999999999</c:v>
                </c:pt>
                <c:pt idx="26">
                  <c:v>79774.823000000004</c:v>
                </c:pt>
                <c:pt idx="27">
                  <c:v>73855.452000000005</c:v>
                </c:pt>
                <c:pt idx="28">
                  <c:v>66209.258000000002</c:v>
                </c:pt>
                <c:pt idx="29">
                  <c:v>58745.055</c:v>
                </c:pt>
                <c:pt idx="30">
                  <c:v>54507.627999999997</c:v>
                </c:pt>
                <c:pt idx="31">
                  <c:v>52826.607000000004</c:v>
                </c:pt>
                <c:pt idx="32">
                  <c:v>54046.752</c:v>
                </c:pt>
                <c:pt idx="33">
                  <c:v>57752.463000000003</c:v>
                </c:pt>
                <c:pt idx="34">
                  <c:v>58974.895999999993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9805312"/>
        <c:axId val="189807232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10 chart data'!$B$33:$F$33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10 chart data'!$F$35:$F$46,'Section 10 chart data'!$N$35:$N$46,'Section 10 chart data'!$T$35:$T$45)</c:f>
              <c:numCache>
                <c:formatCode>#,##0</c:formatCode>
                <c:ptCount val="35"/>
                <c:pt idx="0">
                  <c:v>4874.46</c:v>
                </c:pt>
                <c:pt idx="1">
                  <c:v>6228.02</c:v>
                </c:pt>
                <c:pt idx="2">
                  <c:v>5791.88</c:v>
                </c:pt>
                <c:pt idx="3">
                  <c:v>5665.6149999999998</c:v>
                </c:pt>
                <c:pt idx="4">
                  <c:v>5567.08</c:v>
                </c:pt>
                <c:pt idx="5">
                  <c:v>5635.8649999999998</c:v>
                </c:pt>
                <c:pt idx="6">
                  <c:v>5720.9000000000005</c:v>
                </c:pt>
                <c:pt idx="7">
                  <c:v>5846.0199999999995</c:v>
                </c:pt>
                <c:pt idx="8">
                  <c:v>5962.7849999999999</c:v>
                </c:pt>
                <c:pt idx="9">
                  <c:v>6135.48</c:v>
                </c:pt>
                <c:pt idx="10">
                  <c:v>6211.7999999999993</c:v>
                </c:pt>
                <c:pt idx="12">
                  <c:v>8725.82</c:v>
                </c:pt>
                <c:pt idx="13">
                  <c:v>10176.32</c:v>
                </c:pt>
                <c:pt idx="14">
                  <c:v>8733.1650000000009</c:v>
                </c:pt>
                <c:pt idx="15">
                  <c:v>7739.5450000000001</c:v>
                </c:pt>
                <c:pt idx="16">
                  <c:v>7034.83</c:v>
                </c:pt>
                <c:pt idx="17">
                  <c:v>7033.7800000000007</c:v>
                </c:pt>
                <c:pt idx="18">
                  <c:v>7539.5650000000005</c:v>
                </c:pt>
                <c:pt idx="19">
                  <c:v>8441.6650000000009</c:v>
                </c:pt>
                <c:pt idx="20">
                  <c:v>9459.3449999999993</c:v>
                </c:pt>
                <c:pt idx="21">
                  <c:v>10357.145</c:v>
                </c:pt>
                <c:pt idx="22">
                  <c:v>10924.56</c:v>
                </c:pt>
                <c:pt idx="24">
                  <c:v>13600.279999999999</c:v>
                </c:pt>
                <c:pt idx="25">
                  <c:v>16404.34</c:v>
                </c:pt>
                <c:pt idx="26">
                  <c:v>14525.045</c:v>
                </c:pt>
                <c:pt idx="27">
                  <c:v>13405.16</c:v>
                </c:pt>
                <c:pt idx="28">
                  <c:v>12601.909999999998</c:v>
                </c:pt>
                <c:pt idx="29">
                  <c:v>12669.645</c:v>
                </c:pt>
                <c:pt idx="30">
                  <c:v>13260.465</c:v>
                </c:pt>
                <c:pt idx="31">
                  <c:v>14287.685000000001</c:v>
                </c:pt>
                <c:pt idx="32">
                  <c:v>15422.13</c:v>
                </c:pt>
                <c:pt idx="33">
                  <c:v>16492.625</c:v>
                </c:pt>
                <c:pt idx="34">
                  <c:v>17136.36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813120"/>
        <c:axId val="189814656"/>
      </c:barChart>
      <c:lineChart>
        <c:grouping val="standard"/>
        <c:varyColors val="0"/>
        <c:ser>
          <c:idx val="2"/>
          <c:order val="2"/>
          <c:tx>
            <c:strRef>
              <c:f>'Section 10 chart data'!$B$48:$F$48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10 chart data'!$F$50:$F$61,'Section 10 chart data'!$N$50:$N$61,'Section 10 chart data'!$T$50:$T$60)</c:f>
              <c:numCache>
                <c:formatCode>#,##0</c:formatCode>
                <c:ptCount val="35"/>
                <c:pt idx="0">
                  <c:v>5430.5519999999997</c:v>
                </c:pt>
                <c:pt idx="1">
                  <c:v>5757.2450000000008</c:v>
                </c:pt>
                <c:pt idx="2">
                  <c:v>5614.6799999999994</c:v>
                </c:pt>
                <c:pt idx="3">
                  <c:v>5730.5749999999998</c:v>
                </c:pt>
                <c:pt idx="4">
                  <c:v>5473.95</c:v>
                </c:pt>
                <c:pt idx="5">
                  <c:v>5501.7950000000001</c:v>
                </c:pt>
                <c:pt idx="6">
                  <c:v>5604.41</c:v>
                </c:pt>
                <c:pt idx="7">
                  <c:v>5356.9</c:v>
                </c:pt>
                <c:pt idx="8">
                  <c:v>4519.0599999999995</c:v>
                </c:pt>
                <c:pt idx="9">
                  <c:v>7129.53</c:v>
                </c:pt>
                <c:pt idx="10">
                  <c:v>4344.67</c:v>
                </c:pt>
                <c:pt idx="12">
                  <c:v>11831.748</c:v>
                </c:pt>
                <c:pt idx="13">
                  <c:v>16324.52</c:v>
                </c:pt>
                <c:pt idx="14">
                  <c:v>14782.245000000001</c:v>
                </c:pt>
                <c:pt idx="15">
                  <c:v>15263.495000000001</c:v>
                </c:pt>
                <c:pt idx="16">
                  <c:v>14552.025000000001</c:v>
                </c:pt>
                <c:pt idx="17">
                  <c:v>11363.720000000001</c:v>
                </c:pt>
                <c:pt idx="18">
                  <c:v>9320.59</c:v>
                </c:pt>
                <c:pt idx="19">
                  <c:v>7689.7249999999995</c:v>
                </c:pt>
                <c:pt idx="20">
                  <c:v>7186.83</c:v>
                </c:pt>
                <c:pt idx="21">
                  <c:v>8114.3550000000005</c:v>
                </c:pt>
                <c:pt idx="22">
                  <c:v>6853.21</c:v>
                </c:pt>
                <c:pt idx="24">
                  <c:v>17262.3</c:v>
                </c:pt>
                <c:pt idx="25">
                  <c:v>22081.764999999999</c:v>
                </c:pt>
                <c:pt idx="26">
                  <c:v>20396.925000000003</c:v>
                </c:pt>
                <c:pt idx="27">
                  <c:v>20994.07</c:v>
                </c:pt>
                <c:pt idx="28">
                  <c:v>20025.975000000002</c:v>
                </c:pt>
                <c:pt idx="29">
                  <c:v>16865.514999999999</c:v>
                </c:pt>
                <c:pt idx="30">
                  <c:v>14925</c:v>
                </c:pt>
                <c:pt idx="31">
                  <c:v>13046.625</c:v>
                </c:pt>
                <c:pt idx="32">
                  <c:v>11705.89</c:v>
                </c:pt>
                <c:pt idx="33">
                  <c:v>15243.885</c:v>
                </c:pt>
                <c:pt idx="34">
                  <c:v>11197.880000000001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13120"/>
        <c:axId val="189814656"/>
      </c:lineChart>
      <c:catAx>
        <c:axId val="189805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980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807232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805312"/>
        <c:crosses val="autoZero"/>
        <c:crossBetween val="between"/>
      </c:valAx>
      <c:catAx>
        <c:axId val="1898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89814656"/>
        <c:crosses val="autoZero"/>
        <c:auto val="0"/>
        <c:lblAlgn val="ctr"/>
        <c:lblOffset val="100"/>
        <c:noMultiLvlLbl val="0"/>
      </c:catAx>
      <c:valAx>
        <c:axId val="189814656"/>
        <c:scaling>
          <c:orientation val="minMax"/>
          <c:max val="10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81312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softwood forecast showing contribution by Aligned Area (FC+PS)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country'!$C$67:$M$67</c:f>
              <c:numCache>
                <c:formatCode>#,##0</c:formatCode>
                <c:ptCount val="11"/>
                <c:pt idx="0">
                  <c:v>407.041</c:v>
                </c:pt>
                <c:pt idx="1">
                  <c:v>379.16800000000001</c:v>
                </c:pt>
                <c:pt idx="2">
                  <c:v>563.53500000000008</c:v>
                </c:pt>
                <c:pt idx="3">
                  <c:v>495.911</c:v>
                </c:pt>
                <c:pt idx="4">
                  <c:v>366.94399999999996</c:v>
                </c:pt>
                <c:pt idx="5">
                  <c:v>296.97500000000002</c:v>
                </c:pt>
                <c:pt idx="6">
                  <c:v>317.59300000000002</c:v>
                </c:pt>
                <c:pt idx="7">
                  <c:v>248.09399999999999</c:v>
                </c:pt>
                <c:pt idx="8">
                  <c:v>292.09399999999999</c:v>
                </c:pt>
                <c:pt idx="9">
                  <c:v>389.24799999999999</c:v>
                </c:pt>
                <c:pt idx="10">
                  <c:v>280.13200000000001</c:v>
                </c:pt>
              </c:numCache>
            </c:numRef>
          </c:val>
        </c:ser>
        <c:ser>
          <c:idx val="1"/>
          <c:order val="1"/>
          <c:tx>
            <c:strRef>
              <c:f>'Section 10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country'!$C$68:$M$68</c:f>
              <c:numCache>
                <c:formatCode>#,##0</c:formatCode>
                <c:ptCount val="11"/>
                <c:pt idx="0">
                  <c:v>406.27600000000001</c:v>
                </c:pt>
                <c:pt idx="1">
                  <c:v>592.44100000000003</c:v>
                </c:pt>
                <c:pt idx="2">
                  <c:v>304.904</c:v>
                </c:pt>
                <c:pt idx="3">
                  <c:v>304.399</c:v>
                </c:pt>
                <c:pt idx="4">
                  <c:v>304.31399999999996</c:v>
                </c:pt>
                <c:pt idx="5">
                  <c:v>255.845</c:v>
                </c:pt>
                <c:pt idx="6">
                  <c:v>266.46699999999998</c:v>
                </c:pt>
                <c:pt idx="7">
                  <c:v>289.17199999999997</c:v>
                </c:pt>
                <c:pt idx="8">
                  <c:v>214.71199999999999</c:v>
                </c:pt>
                <c:pt idx="9">
                  <c:v>296.58600000000001</c:v>
                </c:pt>
                <c:pt idx="10">
                  <c:v>233.01500000000001</c:v>
                </c:pt>
              </c:numCache>
            </c:numRef>
          </c:val>
        </c:ser>
        <c:ser>
          <c:idx val="2"/>
          <c:order val="2"/>
          <c:tx>
            <c:strRef>
              <c:f>'Section 10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country'!$C$69:$M$69</c:f>
              <c:numCache>
                <c:formatCode>#,##0</c:formatCode>
                <c:ptCount val="11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  <c:pt idx="6">
                  <c:v>286.60700000000003</c:v>
                </c:pt>
                <c:pt idx="7">
                  <c:v>181.59399999999999</c:v>
                </c:pt>
                <c:pt idx="8">
                  <c:v>190.33499999999998</c:v>
                </c:pt>
                <c:pt idx="9">
                  <c:v>172.649</c:v>
                </c:pt>
                <c:pt idx="10">
                  <c:v>155.56299999999999</c:v>
                </c:pt>
              </c:numCache>
            </c:numRef>
          </c:val>
        </c:ser>
        <c:ser>
          <c:idx val="3"/>
          <c:order val="3"/>
          <c:tx>
            <c:strRef>
              <c:f>'Section 10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country'!$C$70:$M$70</c:f>
              <c:numCache>
                <c:formatCode>#,##0</c:formatCode>
                <c:ptCount val="11"/>
                <c:pt idx="0">
                  <c:v>127.979</c:v>
                </c:pt>
                <c:pt idx="1">
                  <c:v>155.899</c:v>
                </c:pt>
                <c:pt idx="2">
                  <c:v>180.25900000000001</c:v>
                </c:pt>
                <c:pt idx="3">
                  <c:v>175.09199999999998</c:v>
                </c:pt>
                <c:pt idx="4">
                  <c:v>110.271</c:v>
                </c:pt>
                <c:pt idx="5">
                  <c:v>113.279</c:v>
                </c:pt>
                <c:pt idx="6">
                  <c:v>118.09100000000001</c:v>
                </c:pt>
                <c:pt idx="7">
                  <c:v>80.920999999999992</c:v>
                </c:pt>
                <c:pt idx="8">
                  <c:v>89.503999999999991</c:v>
                </c:pt>
                <c:pt idx="9">
                  <c:v>111.667</c:v>
                </c:pt>
                <c:pt idx="10">
                  <c:v>85.73</c:v>
                </c:pt>
              </c:numCache>
            </c:numRef>
          </c:val>
        </c:ser>
        <c:ser>
          <c:idx val="4"/>
          <c:order val="4"/>
          <c:tx>
            <c:strRef>
              <c:f>'Section 10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country'!$C$71:$M$71</c:f>
              <c:numCache>
                <c:formatCode>#,##0</c:formatCode>
                <c:ptCount val="11"/>
                <c:pt idx="0">
                  <c:v>25.514000000000003</c:v>
                </c:pt>
                <c:pt idx="1">
                  <c:v>55.722000000000001</c:v>
                </c:pt>
                <c:pt idx="2">
                  <c:v>29.957000000000001</c:v>
                </c:pt>
                <c:pt idx="3">
                  <c:v>33.829000000000001</c:v>
                </c:pt>
                <c:pt idx="4">
                  <c:v>34.227000000000004</c:v>
                </c:pt>
                <c:pt idx="5">
                  <c:v>25.134</c:v>
                </c:pt>
                <c:pt idx="6">
                  <c:v>14.837</c:v>
                </c:pt>
                <c:pt idx="7">
                  <c:v>30.034000000000002</c:v>
                </c:pt>
                <c:pt idx="8">
                  <c:v>16.440000000000001</c:v>
                </c:pt>
                <c:pt idx="9">
                  <c:v>24.884999999999998</c:v>
                </c:pt>
                <c:pt idx="10">
                  <c:v>18.541</c:v>
                </c:pt>
              </c:numCache>
            </c:numRef>
          </c:val>
        </c:ser>
        <c:ser>
          <c:idx val="5"/>
          <c:order val="5"/>
          <c:tx>
            <c:strRef>
              <c:f>'Section 10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country'!$C$72:$M$72</c:f>
              <c:numCache>
                <c:formatCode>#,##0</c:formatCode>
                <c:ptCount val="11"/>
                <c:pt idx="0">
                  <c:v>27.532</c:v>
                </c:pt>
                <c:pt idx="1">
                  <c:v>62.685000000000002</c:v>
                </c:pt>
                <c:pt idx="2">
                  <c:v>49.244</c:v>
                </c:pt>
                <c:pt idx="3">
                  <c:v>23.475999999999999</c:v>
                </c:pt>
                <c:pt idx="4">
                  <c:v>55.321999999999996</c:v>
                </c:pt>
                <c:pt idx="5">
                  <c:v>66.457000000000008</c:v>
                </c:pt>
                <c:pt idx="6">
                  <c:v>11.699</c:v>
                </c:pt>
                <c:pt idx="7">
                  <c:v>37.295999999999999</c:v>
                </c:pt>
                <c:pt idx="8">
                  <c:v>25.054000000000002</c:v>
                </c:pt>
                <c:pt idx="9">
                  <c:v>20.774999999999999</c:v>
                </c:pt>
                <c:pt idx="10">
                  <c:v>18.853999999999999</c:v>
                </c:pt>
              </c:numCache>
            </c:numRef>
          </c:val>
        </c:ser>
        <c:ser>
          <c:idx val="6"/>
          <c:order val="6"/>
          <c:tx>
            <c:strRef>
              <c:f>'Section 10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country'!$C$73:$M$73</c:f>
              <c:numCache>
                <c:formatCode>#,##0</c:formatCode>
                <c:ptCount val="11"/>
                <c:pt idx="0">
                  <c:v>174.13800000000001</c:v>
                </c:pt>
                <c:pt idx="1">
                  <c:v>154.935</c:v>
                </c:pt>
                <c:pt idx="2">
                  <c:v>186.46700000000001</c:v>
                </c:pt>
                <c:pt idx="3">
                  <c:v>112.44499999999999</c:v>
                </c:pt>
                <c:pt idx="4">
                  <c:v>106.086</c:v>
                </c:pt>
                <c:pt idx="5">
                  <c:v>141.87199999999999</c:v>
                </c:pt>
                <c:pt idx="6">
                  <c:v>157.08600000000001</c:v>
                </c:pt>
                <c:pt idx="7">
                  <c:v>104.803</c:v>
                </c:pt>
                <c:pt idx="8">
                  <c:v>62.898000000000003</c:v>
                </c:pt>
                <c:pt idx="9">
                  <c:v>121.31100000000001</c:v>
                </c:pt>
                <c:pt idx="10">
                  <c:v>79.451000000000008</c:v>
                </c:pt>
              </c:numCache>
            </c:numRef>
          </c:val>
        </c:ser>
        <c:ser>
          <c:idx val="7"/>
          <c:order val="7"/>
          <c:tx>
            <c:strRef>
              <c:f>'Section 10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country'!$C$74:$M$74</c:f>
              <c:numCache>
                <c:formatCode>#,##0</c:formatCode>
                <c:ptCount val="11"/>
                <c:pt idx="0">
                  <c:v>94.585999999999999</c:v>
                </c:pt>
                <c:pt idx="1">
                  <c:v>76.403000000000006</c:v>
                </c:pt>
                <c:pt idx="2">
                  <c:v>63.631</c:v>
                </c:pt>
                <c:pt idx="3">
                  <c:v>96.376000000000005</c:v>
                </c:pt>
                <c:pt idx="4">
                  <c:v>104.029</c:v>
                </c:pt>
                <c:pt idx="5">
                  <c:v>67.742999999999995</c:v>
                </c:pt>
                <c:pt idx="6">
                  <c:v>92.444000000000003</c:v>
                </c:pt>
                <c:pt idx="7">
                  <c:v>66.76400000000001</c:v>
                </c:pt>
                <c:pt idx="8">
                  <c:v>85.40100000000001</c:v>
                </c:pt>
                <c:pt idx="9">
                  <c:v>79.213999999999999</c:v>
                </c:pt>
                <c:pt idx="10">
                  <c:v>50.900999999999996</c:v>
                </c:pt>
              </c:numCache>
            </c:numRef>
          </c:val>
        </c:ser>
        <c:ser>
          <c:idx val="8"/>
          <c:order val="8"/>
          <c:tx>
            <c:strRef>
              <c:f>'Section 10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country'!$C$75:$M$75</c:f>
              <c:numCache>
                <c:formatCode>#,##0</c:formatCode>
                <c:ptCount val="11"/>
                <c:pt idx="0">
                  <c:v>818.62900000000002</c:v>
                </c:pt>
                <c:pt idx="1">
                  <c:v>738.75900000000001</c:v>
                </c:pt>
                <c:pt idx="2">
                  <c:v>676.61400000000003</c:v>
                </c:pt>
                <c:pt idx="3">
                  <c:v>773.03499999999997</c:v>
                </c:pt>
                <c:pt idx="4">
                  <c:v>827.86400000000003</c:v>
                </c:pt>
                <c:pt idx="5">
                  <c:v>731.29899999999998</c:v>
                </c:pt>
                <c:pt idx="6">
                  <c:v>603.54099999999994</c:v>
                </c:pt>
                <c:pt idx="7">
                  <c:v>510.26900000000001</c:v>
                </c:pt>
                <c:pt idx="8">
                  <c:v>434.50800000000004</c:v>
                </c:pt>
                <c:pt idx="9">
                  <c:v>697.98700000000008</c:v>
                </c:pt>
                <c:pt idx="10">
                  <c:v>446.68299999999999</c:v>
                </c:pt>
              </c:numCache>
            </c:numRef>
          </c:val>
        </c:ser>
        <c:ser>
          <c:idx val="9"/>
          <c:order val="9"/>
          <c:tx>
            <c:strRef>
              <c:f>'Section 10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country'!$C$76:$M$76</c:f>
              <c:numCache>
                <c:formatCode>#,##0</c:formatCode>
                <c:ptCount val="11"/>
                <c:pt idx="0">
                  <c:v>261.58300000000003</c:v>
                </c:pt>
                <c:pt idx="1">
                  <c:v>304.62400000000002</c:v>
                </c:pt>
                <c:pt idx="2">
                  <c:v>258.25800000000004</c:v>
                </c:pt>
                <c:pt idx="3">
                  <c:v>278.40100000000001</c:v>
                </c:pt>
                <c:pt idx="4">
                  <c:v>282.815</c:v>
                </c:pt>
                <c:pt idx="5">
                  <c:v>211.47899999999998</c:v>
                </c:pt>
                <c:pt idx="6">
                  <c:v>234.863</c:v>
                </c:pt>
                <c:pt idx="7">
                  <c:v>191.61099999999999</c:v>
                </c:pt>
                <c:pt idx="8">
                  <c:v>216.75200000000001</c:v>
                </c:pt>
                <c:pt idx="9">
                  <c:v>203.02100000000002</c:v>
                </c:pt>
                <c:pt idx="10">
                  <c:v>143.709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country'!$C$77:$M$77</c:f>
              <c:numCache>
                <c:formatCode>#,##0</c:formatCode>
                <c:ptCount val="11"/>
                <c:pt idx="0">
                  <c:v>274.88799999999998</c:v>
                </c:pt>
                <c:pt idx="1">
                  <c:v>206.20700000000002</c:v>
                </c:pt>
                <c:pt idx="2">
                  <c:v>229.96600000000001</c:v>
                </c:pt>
                <c:pt idx="3">
                  <c:v>323.50899999999996</c:v>
                </c:pt>
                <c:pt idx="4">
                  <c:v>233.29399999999998</c:v>
                </c:pt>
                <c:pt idx="5">
                  <c:v>215.06100000000001</c:v>
                </c:pt>
                <c:pt idx="6">
                  <c:v>155.95400000000001</c:v>
                </c:pt>
                <c:pt idx="7">
                  <c:v>128.89100000000002</c:v>
                </c:pt>
                <c:pt idx="8">
                  <c:v>113.45699999999999</c:v>
                </c:pt>
                <c:pt idx="9">
                  <c:v>132.76</c:v>
                </c:pt>
                <c:pt idx="10">
                  <c:v>115.50399999999999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country'!$C$78:$M$78</c:f>
              <c:numCache>
                <c:formatCode>#,##0</c:formatCode>
                <c:ptCount val="11"/>
                <c:pt idx="0">
                  <c:v>401.38900000000001</c:v>
                </c:pt>
                <c:pt idx="1">
                  <c:v>361.80200000000002</c:v>
                </c:pt>
                <c:pt idx="2">
                  <c:v>299.55099999999999</c:v>
                </c:pt>
                <c:pt idx="3">
                  <c:v>307.72800000000001</c:v>
                </c:pt>
                <c:pt idx="4">
                  <c:v>240.63800000000001</c:v>
                </c:pt>
                <c:pt idx="5">
                  <c:v>216.03199999999998</c:v>
                </c:pt>
                <c:pt idx="6">
                  <c:v>192.053</c:v>
                </c:pt>
                <c:pt idx="7">
                  <c:v>160.30199999999999</c:v>
                </c:pt>
                <c:pt idx="8">
                  <c:v>152.583</c:v>
                </c:pt>
                <c:pt idx="9">
                  <c:v>180.31200000000001</c:v>
                </c:pt>
                <c:pt idx="10">
                  <c:v>166.417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country'!$C$79:$M$79</c:f>
              <c:numCache>
                <c:formatCode>#,##0</c:formatCode>
                <c:ptCount val="11"/>
                <c:pt idx="0">
                  <c:v>587.85799999999995</c:v>
                </c:pt>
                <c:pt idx="1">
                  <c:v>549.98099999999999</c:v>
                </c:pt>
                <c:pt idx="2">
                  <c:v>516.08199999999999</c:v>
                </c:pt>
                <c:pt idx="3">
                  <c:v>430.43899999999996</c:v>
                </c:pt>
                <c:pt idx="4">
                  <c:v>575.42900000000009</c:v>
                </c:pt>
                <c:pt idx="5">
                  <c:v>353.23599999999999</c:v>
                </c:pt>
                <c:pt idx="6">
                  <c:v>282.73099999999999</c:v>
                </c:pt>
                <c:pt idx="7">
                  <c:v>318.29399999999998</c:v>
                </c:pt>
                <c:pt idx="8">
                  <c:v>238.982</c:v>
                </c:pt>
                <c:pt idx="9">
                  <c:v>251.84100000000001</c:v>
                </c:pt>
                <c:pt idx="10">
                  <c:v>563.4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country'!$C$80:$M$80</c:f>
              <c:numCache>
                <c:formatCode>#,##0</c:formatCode>
                <c:ptCount val="11"/>
                <c:pt idx="0">
                  <c:v>373.69299999999998</c:v>
                </c:pt>
                <c:pt idx="1">
                  <c:v>426.67600000000004</c:v>
                </c:pt>
                <c:pt idx="2">
                  <c:v>413.84699999999998</c:v>
                </c:pt>
                <c:pt idx="3">
                  <c:v>428.40299999999996</c:v>
                </c:pt>
                <c:pt idx="4">
                  <c:v>330.084</c:v>
                </c:pt>
                <c:pt idx="5">
                  <c:v>295.88100000000003</c:v>
                </c:pt>
                <c:pt idx="6">
                  <c:v>251.03399999999999</c:v>
                </c:pt>
                <c:pt idx="7">
                  <c:v>261.27999999999997</c:v>
                </c:pt>
                <c:pt idx="8">
                  <c:v>208.458</c:v>
                </c:pt>
                <c:pt idx="9">
                  <c:v>366.52100000000002</c:v>
                </c:pt>
                <c:pt idx="10">
                  <c:v>234.52199999999999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9965440"/>
        <c:axId val="189967360"/>
      </c:barChart>
      <c:catAx>
        <c:axId val="18996544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9967360"/>
        <c:crosses val="autoZero"/>
        <c:auto val="1"/>
        <c:lblAlgn val="ctr"/>
        <c:lblOffset val="100"/>
        <c:noMultiLvlLbl val="0"/>
      </c:catAx>
      <c:valAx>
        <c:axId val="189967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996544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country'!$C$67:$M$67</c:f>
              <c:numCache>
                <c:formatCode>#,##0</c:formatCode>
                <c:ptCount val="11"/>
                <c:pt idx="0">
                  <c:v>407.041</c:v>
                </c:pt>
                <c:pt idx="1">
                  <c:v>379.16800000000001</c:v>
                </c:pt>
                <c:pt idx="2">
                  <c:v>563.53500000000008</c:v>
                </c:pt>
                <c:pt idx="3">
                  <c:v>495.911</c:v>
                </c:pt>
                <c:pt idx="4">
                  <c:v>366.94399999999996</c:v>
                </c:pt>
                <c:pt idx="5">
                  <c:v>296.97500000000002</c:v>
                </c:pt>
                <c:pt idx="6">
                  <c:v>317.59300000000002</c:v>
                </c:pt>
                <c:pt idx="7">
                  <c:v>248.09399999999999</c:v>
                </c:pt>
                <c:pt idx="8">
                  <c:v>292.09399999999999</c:v>
                </c:pt>
                <c:pt idx="9">
                  <c:v>389.24799999999999</c:v>
                </c:pt>
                <c:pt idx="10">
                  <c:v>280.13200000000001</c:v>
                </c:pt>
              </c:numCache>
            </c:numRef>
          </c:val>
        </c:ser>
        <c:ser>
          <c:idx val="1"/>
          <c:order val="1"/>
          <c:tx>
            <c:strRef>
              <c:f>'Section 10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country'!$C$68:$M$68</c:f>
              <c:numCache>
                <c:formatCode>#,##0</c:formatCode>
                <c:ptCount val="11"/>
                <c:pt idx="0">
                  <c:v>406.27600000000001</c:v>
                </c:pt>
                <c:pt idx="1">
                  <c:v>592.44100000000003</c:v>
                </c:pt>
                <c:pt idx="2">
                  <c:v>304.904</c:v>
                </c:pt>
                <c:pt idx="3">
                  <c:v>304.399</c:v>
                </c:pt>
                <c:pt idx="4">
                  <c:v>304.31399999999996</c:v>
                </c:pt>
                <c:pt idx="5">
                  <c:v>255.845</c:v>
                </c:pt>
                <c:pt idx="6">
                  <c:v>266.46699999999998</c:v>
                </c:pt>
                <c:pt idx="7">
                  <c:v>289.17199999999997</c:v>
                </c:pt>
                <c:pt idx="8">
                  <c:v>214.71199999999999</c:v>
                </c:pt>
                <c:pt idx="9">
                  <c:v>296.58600000000001</c:v>
                </c:pt>
                <c:pt idx="10">
                  <c:v>233.01500000000001</c:v>
                </c:pt>
              </c:numCache>
            </c:numRef>
          </c:val>
        </c:ser>
        <c:ser>
          <c:idx val="2"/>
          <c:order val="2"/>
          <c:tx>
            <c:strRef>
              <c:f>'Section 10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country'!$C$69:$M$69</c:f>
              <c:numCache>
                <c:formatCode>#,##0</c:formatCode>
                <c:ptCount val="11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  <c:pt idx="6">
                  <c:v>286.60700000000003</c:v>
                </c:pt>
                <c:pt idx="7">
                  <c:v>181.59399999999999</c:v>
                </c:pt>
                <c:pt idx="8">
                  <c:v>190.33499999999998</c:v>
                </c:pt>
                <c:pt idx="9">
                  <c:v>172.649</c:v>
                </c:pt>
                <c:pt idx="10">
                  <c:v>155.56299999999999</c:v>
                </c:pt>
              </c:numCache>
            </c:numRef>
          </c:val>
        </c:ser>
        <c:ser>
          <c:idx val="3"/>
          <c:order val="3"/>
          <c:tx>
            <c:strRef>
              <c:f>'Section 10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country'!$C$70:$M$70</c:f>
              <c:numCache>
                <c:formatCode>#,##0</c:formatCode>
                <c:ptCount val="11"/>
                <c:pt idx="0">
                  <c:v>127.979</c:v>
                </c:pt>
                <c:pt idx="1">
                  <c:v>155.899</c:v>
                </c:pt>
                <c:pt idx="2">
                  <c:v>180.25900000000001</c:v>
                </c:pt>
                <c:pt idx="3">
                  <c:v>175.09199999999998</c:v>
                </c:pt>
                <c:pt idx="4">
                  <c:v>110.271</c:v>
                </c:pt>
                <c:pt idx="5">
                  <c:v>113.279</c:v>
                </c:pt>
                <c:pt idx="6">
                  <c:v>118.09100000000001</c:v>
                </c:pt>
                <c:pt idx="7">
                  <c:v>80.920999999999992</c:v>
                </c:pt>
                <c:pt idx="8">
                  <c:v>89.503999999999991</c:v>
                </c:pt>
                <c:pt idx="9">
                  <c:v>111.667</c:v>
                </c:pt>
                <c:pt idx="10">
                  <c:v>85.73</c:v>
                </c:pt>
              </c:numCache>
            </c:numRef>
          </c:val>
        </c:ser>
        <c:ser>
          <c:idx val="4"/>
          <c:order val="4"/>
          <c:tx>
            <c:strRef>
              <c:f>'Section 10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country'!$C$71:$M$71</c:f>
              <c:numCache>
                <c:formatCode>#,##0</c:formatCode>
                <c:ptCount val="11"/>
                <c:pt idx="0">
                  <c:v>25.514000000000003</c:v>
                </c:pt>
                <c:pt idx="1">
                  <c:v>55.722000000000001</c:v>
                </c:pt>
                <c:pt idx="2">
                  <c:v>29.957000000000001</c:v>
                </c:pt>
                <c:pt idx="3">
                  <c:v>33.829000000000001</c:v>
                </c:pt>
                <c:pt idx="4">
                  <c:v>34.227000000000004</c:v>
                </c:pt>
                <c:pt idx="5">
                  <c:v>25.134</c:v>
                </c:pt>
                <c:pt idx="6">
                  <c:v>14.837</c:v>
                </c:pt>
                <c:pt idx="7">
                  <c:v>30.034000000000002</c:v>
                </c:pt>
                <c:pt idx="8">
                  <c:v>16.440000000000001</c:v>
                </c:pt>
                <c:pt idx="9">
                  <c:v>24.884999999999998</c:v>
                </c:pt>
                <c:pt idx="10">
                  <c:v>18.541</c:v>
                </c:pt>
              </c:numCache>
            </c:numRef>
          </c:val>
        </c:ser>
        <c:ser>
          <c:idx val="5"/>
          <c:order val="5"/>
          <c:tx>
            <c:strRef>
              <c:f>'Section 10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country'!$C$72:$M$72</c:f>
              <c:numCache>
                <c:formatCode>#,##0</c:formatCode>
                <c:ptCount val="11"/>
                <c:pt idx="0">
                  <c:v>27.532</c:v>
                </c:pt>
                <c:pt idx="1">
                  <c:v>62.685000000000002</c:v>
                </c:pt>
                <c:pt idx="2">
                  <c:v>49.244</c:v>
                </c:pt>
                <c:pt idx="3">
                  <c:v>23.475999999999999</c:v>
                </c:pt>
                <c:pt idx="4">
                  <c:v>55.321999999999996</c:v>
                </c:pt>
                <c:pt idx="5">
                  <c:v>66.457000000000008</c:v>
                </c:pt>
                <c:pt idx="6">
                  <c:v>11.699</c:v>
                </c:pt>
                <c:pt idx="7">
                  <c:v>37.295999999999999</c:v>
                </c:pt>
                <c:pt idx="8">
                  <c:v>25.054000000000002</c:v>
                </c:pt>
                <c:pt idx="9">
                  <c:v>20.774999999999999</c:v>
                </c:pt>
                <c:pt idx="10">
                  <c:v>18.853999999999999</c:v>
                </c:pt>
              </c:numCache>
            </c:numRef>
          </c:val>
        </c:ser>
        <c:ser>
          <c:idx val="6"/>
          <c:order val="6"/>
          <c:tx>
            <c:strRef>
              <c:f>'Section 10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country'!$C$73:$M$73</c:f>
              <c:numCache>
                <c:formatCode>#,##0</c:formatCode>
                <c:ptCount val="11"/>
                <c:pt idx="0">
                  <c:v>174.13800000000001</c:v>
                </c:pt>
                <c:pt idx="1">
                  <c:v>154.935</c:v>
                </c:pt>
                <c:pt idx="2">
                  <c:v>186.46700000000001</c:v>
                </c:pt>
                <c:pt idx="3">
                  <c:v>112.44499999999999</c:v>
                </c:pt>
                <c:pt idx="4">
                  <c:v>106.086</c:v>
                </c:pt>
                <c:pt idx="5">
                  <c:v>141.87199999999999</c:v>
                </c:pt>
                <c:pt idx="6">
                  <c:v>157.08600000000001</c:v>
                </c:pt>
                <c:pt idx="7">
                  <c:v>104.803</c:v>
                </c:pt>
                <c:pt idx="8">
                  <c:v>62.898000000000003</c:v>
                </c:pt>
                <c:pt idx="9">
                  <c:v>121.31100000000001</c:v>
                </c:pt>
                <c:pt idx="10">
                  <c:v>79.451000000000008</c:v>
                </c:pt>
              </c:numCache>
            </c:numRef>
          </c:val>
        </c:ser>
        <c:ser>
          <c:idx val="7"/>
          <c:order val="7"/>
          <c:tx>
            <c:strRef>
              <c:f>'Section 10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country'!$C$74:$M$74</c:f>
              <c:numCache>
                <c:formatCode>#,##0</c:formatCode>
                <c:ptCount val="11"/>
                <c:pt idx="0">
                  <c:v>94.585999999999999</c:v>
                </c:pt>
                <c:pt idx="1">
                  <c:v>76.403000000000006</c:v>
                </c:pt>
                <c:pt idx="2">
                  <c:v>63.631</c:v>
                </c:pt>
                <c:pt idx="3">
                  <c:v>96.376000000000005</c:v>
                </c:pt>
                <c:pt idx="4">
                  <c:v>104.029</c:v>
                </c:pt>
                <c:pt idx="5">
                  <c:v>67.742999999999995</c:v>
                </c:pt>
                <c:pt idx="6">
                  <c:v>92.444000000000003</c:v>
                </c:pt>
                <c:pt idx="7">
                  <c:v>66.76400000000001</c:v>
                </c:pt>
                <c:pt idx="8">
                  <c:v>85.40100000000001</c:v>
                </c:pt>
                <c:pt idx="9">
                  <c:v>79.213999999999999</c:v>
                </c:pt>
                <c:pt idx="10">
                  <c:v>50.900999999999996</c:v>
                </c:pt>
              </c:numCache>
            </c:numRef>
          </c:val>
        </c:ser>
        <c:ser>
          <c:idx val="8"/>
          <c:order val="8"/>
          <c:tx>
            <c:strRef>
              <c:f>'Section 10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country'!$C$75:$M$75</c:f>
              <c:numCache>
                <c:formatCode>#,##0</c:formatCode>
                <c:ptCount val="11"/>
                <c:pt idx="0">
                  <c:v>818.62900000000002</c:v>
                </c:pt>
                <c:pt idx="1">
                  <c:v>738.75900000000001</c:v>
                </c:pt>
                <c:pt idx="2">
                  <c:v>676.61400000000003</c:v>
                </c:pt>
                <c:pt idx="3">
                  <c:v>773.03499999999997</c:v>
                </c:pt>
                <c:pt idx="4">
                  <c:v>827.86400000000003</c:v>
                </c:pt>
                <c:pt idx="5">
                  <c:v>731.29899999999998</c:v>
                </c:pt>
                <c:pt idx="6">
                  <c:v>603.54099999999994</c:v>
                </c:pt>
                <c:pt idx="7">
                  <c:v>510.26900000000001</c:v>
                </c:pt>
                <c:pt idx="8">
                  <c:v>434.50800000000004</c:v>
                </c:pt>
                <c:pt idx="9">
                  <c:v>697.98700000000008</c:v>
                </c:pt>
                <c:pt idx="10">
                  <c:v>446.68299999999999</c:v>
                </c:pt>
              </c:numCache>
            </c:numRef>
          </c:val>
        </c:ser>
        <c:ser>
          <c:idx val="9"/>
          <c:order val="9"/>
          <c:tx>
            <c:strRef>
              <c:f>'Section 10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country'!$C$76:$M$76</c:f>
              <c:numCache>
                <c:formatCode>#,##0</c:formatCode>
                <c:ptCount val="11"/>
                <c:pt idx="0">
                  <c:v>261.58300000000003</c:v>
                </c:pt>
                <c:pt idx="1">
                  <c:v>304.62400000000002</c:v>
                </c:pt>
                <c:pt idx="2">
                  <c:v>258.25800000000004</c:v>
                </c:pt>
                <c:pt idx="3">
                  <c:v>278.40100000000001</c:v>
                </c:pt>
                <c:pt idx="4">
                  <c:v>282.815</c:v>
                </c:pt>
                <c:pt idx="5">
                  <c:v>211.47899999999998</c:v>
                </c:pt>
                <c:pt idx="6">
                  <c:v>234.863</c:v>
                </c:pt>
                <c:pt idx="7">
                  <c:v>191.61099999999999</c:v>
                </c:pt>
                <c:pt idx="8">
                  <c:v>216.75200000000001</c:v>
                </c:pt>
                <c:pt idx="9">
                  <c:v>203.02100000000002</c:v>
                </c:pt>
                <c:pt idx="10">
                  <c:v>143.709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country'!$C$77:$M$77</c:f>
              <c:numCache>
                <c:formatCode>#,##0</c:formatCode>
                <c:ptCount val="11"/>
                <c:pt idx="0">
                  <c:v>274.88799999999998</c:v>
                </c:pt>
                <c:pt idx="1">
                  <c:v>206.20700000000002</c:v>
                </c:pt>
                <c:pt idx="2">
                  <c:v>229.96600000000001</c:v>
                </c:pt>
                <c:pt idx="3">
                  <c:v>323.50899999999996</c:v>
                </c:pt>
                <c:pt idx="4">
                  <c:v>233.29399999999998</c:v>
                </c:pt>
                <c:pt idx="5">
                  <c:v>215.06100000000001</c:v>
                </c:pt>
                <c:pt idx="6">
                  <c:v>155.95400000000001</c:v>
                </c:pt>
                <c:pt idx="7">
                  <c:v>128.89100000000002</c:v>
                </c:pt>
                <c:pt idx="8">
                  <c:v>113.45699999999999</c:v>
                </c:pt>
                <c:pt idx="9">
                  <c:v>132.76</c:v>
                </c:pt>
                <c:pt idx="10">
                  <c:v>115.50399999999999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country'!$C$78:$M$78</c:f>
              <c:numCache>
                <c:formatCode>#,##0</c:formatCode>
                <c:ptCount val="11"/>
                <c:pt idx="0">
                  <c:v>401.38900000000001</c:v>
                </c:pt>
                <c:pt idx="1">
                  <c:v>361.80200000000002</c:v>
                </c:pt>
                <c:pt idx="2">
                  <c:v>299.55099999999999</c:v>
                </c:pt>
                <c:pt idx="3">
                  <c:v>307.72800000000001</c:v>
                </c:pt>
                <c:pt idx="4">
                  <c:v>240.63800000000001</c:v>
                </c:pt>
                <c:pt idx="5">
                  <c:v>216.03199999999998</c:v>
                </c:pt>
                <c:pt idx="6">
                  <c:v>192.053</c:v>
                </c:pt>
                <c:pt idx="7">
                  <c:v>160.30199999999999</c:v>
                </c:pt>
                <c:pt idx="8">
                  <c:v>152.583</c:v>
                </c:pt>
                <c:pt idx="9">
                  <c:v>180.31200000000001</c:v>
                </c:pt>
                <c:pt idx="10">
                  <c:v>166.417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country'!$C$79:$M$79</c:f>
              <c:numCache>
                <c:formatCode>#,##0</c:formatCode>
                <c:ptCount val="11"/>
                <c:pt idx="0">
                  <c:v>587.85799999999995</c:v>
                </c:pt>
                <c:pt idx="1">
                  <c:v>549.98099999999999</c:v>
                </c:pt>
                <c:pt idx="2">
                  <c:v>516.08199999999999</c:v>
                </c:pt>
                <c:pt idx="3">
                  <c:v>430.43899999999996</c:v>
                </c:pt>
                <c:pt idx="4">
                  <c:v>575.42900000000009</c:v>
                </c:pt>
                <c:pt idx="5">
                  <c:v>353.23599999999999</c:v>
                </c:pt>
                <c:pt idx="6">
                  <c:v>282.73099999999999</c:v>
                </c:pt>
                <c:pt idx="7">
                  <c:v>318.29399999999998</c:v>
                </c:pt>
                <c:pt idx="8">
                  <c:v>238.982</c:v>
                </c:pt>
                <c:pt idx="9">
                  <c:v>251.84100000000001</c:v>
                </c:pt>
                <c:pt idx="10">
                  <c:v>563.4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country'!$C$80:$M$80</c:f>
              <c:numCache>
                <c:formatCode>#,##0</c:formatCode>
                <c:ptCount val="11"/>
                <c:pt idx="0">
                  <c:v>373.69299999999998</c:v>
                </c:pt>
                <c:pt idx="1">
                  <c:v>426.67600000000004</c:v>
                </c:pt>
                <c:pt idx="2">
                  <c:v>413.84699999999998</c:v>
                </c:pt>
                <c:pt idx="3">
                  <c:v>428.40299999999996</c:v>
                </c:pt>
                <c:pt idx="4">
                  <c:v>330.084</c:v>
                </c:pt>
                <c:pt idx="5">
                  <c:v>295.88100000000003</c:v>
                </c:pt>
                <c:pt idx="6">
                  <c:v>251.03399999999999</c:v>
                </c:pt>
                <c:pt idx="7">
                  <c:v>261.27999999999997</c:v>
                </c:pt>
                <c:pt idx="8">
                  <c:v>208.458</c:v>
                </c:pt>
                <c:pt idx="9">
                  <c:v>366.52100000000002</c:v>
                </c:pt>
                <c:pt idx="10">
                  <c:v>234.52199999999999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1957632"/>
        <c:axId val="191980288"/>
      </c:barChart>
      <c:catAx>
        <c:axId val="191957632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980288"/>
        <c:crosses val="autoZero"/>
        <c:auto val="1"/>
        <c:lblAlgn val="ctr"/>
        <c:lblOffset val="100"/>
        <c:noMultiLvlLbl val="0"/>
      </c:catAx>
      <c:valAx>
        <c:axId val="191980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9576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513889939679992"/>
          <c:y val="5.9242421396672691E-2"/>
          <c:w val="0.33666044586378668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softwood forecast showing contribution by Aligned Area (FC)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country'!$C$7:$M$7</c:f>
              <c:numCache>
                <c:formatCode>#,##0</c:formatCode>
                <c:ptCount val="11"/>
                <c:pt idx="0">
                  <c:v>169.035</c:v>
                </c:pt>
                <c:pt idx="1">
                  <c:v>120.30500000000001</c:v>
                </c:pt>
                <c:pt idx="2">
                  <c:v>143.113</c:v>
                </c:pt>
                <c:pt idx="3">
                  <c:v>145.471</c:v>
                </c:pt>
                <c:pt idx="4">
                  <c:v>109.753</c:v>
                </c:pt>
                <c:pt idx="5">
                  <c:v>130.58199999999999</c:v>
                </c:pt>
                <c:pt idx="6">
                  <c:v>116.366</c:v>
                </c:pt>
                <c:pt idx="7">
                  <c:v>99.707999999999998</c:v>
                </c:pt>
                <c:pt idx="8">
                  <c:v>108.762</c:v>
                </c:pt>
                <c:pt idx="9">
                  <c:v>188.303</c:v>
                </c:pt>
                <c:pt idx="10">
                  <c:v>95.311000000000007</c:v>
                </c:pt>
              </c:numCache>
            </c:numRef>
          </c:val>
        </c:ser>
        <c:ser>
          <c:idx val="1"/>
          <c:order val="1"/>
          <c:tx>
            <c:strRef>
              <c:f>'Section 10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country'!$C$8:$M$8</c:f>
              <c:numCache>
                <c:formatCode>#,##0</c:formatCode>
                <c:ptCount val="11"/>
                <c:pt idx="0">
                  <c:v>75.849000000000004</c:v>
                </c:pt>
                <c:pt idx="1">
                  <c:v>72.099999999999994</c:v>
                </c:pt>
                <c:pt idx="2">
                  <c:v>72.724000000000004</c:v>
                </c:pt>
                <c:pt idx="3">
                  <c:v>92.063000000000002</c:v>
                </c:pt>
                <c:pt idx="4">
                  <c:v>76.516999999999996</c:v>
                </c:pt>
                <c:pt idx="5">
                  <c:v>89.004999999999995</c:v>
                </c:pt>
                <c:pt idx="6">
                  <c:v>84.558000000000007</c:v>
                </c:pt>
                <c:pt idx="7">
                  <c:v>105.60299999999999</c:v>
                </c:pt>
                <c:pt idx="8">
                  <c:v>84.367999999999995</c:v>
                </c:pt>
                <c:pt idx="9">
                  <c:v>92.313000000000002</c:v>
                </c:pt>
                <c:pt idx="10">
                  <c:v>138.72300000000001</c:v>
                </c:pt>
              </c:numCache>
            </c:numRef>
          </c:val>
        </c:ser>
        <c:ser>
          <c:idx val="2"/>
          <c:order val="2"/>
          <c:tx>
            <c:strRef>
              <c:f>'Section 10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country'!$C$9:$M$9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</c:ser>
        <c:ser>
          <c:idx val="3"/>
          <c:order val="3"/>
          <c:tx>
            <c:strRef>
              <c:f>'Section 10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country'!$C$10:$M$10</c:f>
              <c:numCache>
                <c:formatCode>#,##0</c:formatCode>
                <c:ptCount val="11"/>
                <c:pt idx="0">
                  <c:v>47.417000000000002</c:v>
                </c:pt>
                <c:pt idx="1">
                  <c:v>51.014000000000003</c:v>
                </c:pt>
                <c:pt idx="2">
                  <c:v>45.317</c:v>
                </c:pt>
                <c:pt idx="3">
                  <c:v>38.831000000000003</c:v>
                </c:pt>
                <c:pt idx="4">
                  <c:v>47.055999999999997</c:v>
                </c:pt>
                <c:pt idx="5">
                  <c:v>33.167999999999999</c:v>
                </c:pt>
                <c:pt idx="6">
                  <c:v>34.295999999999999</c:v>
                </c:pt>
                <c:pt idx="7">
                  <c:v>27.609000000000002</c:v>
                </c:pt>
                <c:pt idx="8">
                  <c:v>43.662999999999997</c:v>
                </c:pt>
                <c:pt idx="9">
                  <c:v>33.423000000000002</c:v>
                </c:pt>
                <c:pt idx="10">
                  <c:v>31.556000000000001</c:v>
                </c:pt>
              </c:numCache>
            </c:numRef>
          </c:val>
        </c:ser>
        <c:ser>
          <c:idx val="4"/>
          <c:order val="4"/>
          <c:tx>
            <c:strRef>
              <c:f>'Section 10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country'!$C$11:$M$11</c:f>
              <c:numCache>
                <c:formatCode>#,##0</c:formatCode>
                <c:ptCount val="11"/>
                <c:pt idx="0">
                  <c:v>2.827</c:v>
                </c:pt>
                <c:pt idx="1">
                  <c:v>7.97</c:v>
                </c:pt>
                <c:pt idx="2">
                  <c:v>6.3460000000000001</c:v>
                </c:pt>
                <c:pt idx="3">
                  <c:v>4.5709999999999997</c:v>
                </c:pt>
                <c:pt idx="4">
                  <c:v>5.9619999999999997</c:v>
                </c:pt>
                <c:pt idx="5">
                  <c:v>5.3179999999999996</c:v>
                </c:pt>
                <c:pt idx="6">
                  <c:v>3.9620000000000002</c:v>
                </c:pt>
                <c:pt idx="7">
                  <c:v>5.4340000000000002</c:v>
                </c:pt>
                <c:pt idx="8">
                  <c:v>2.8580000000000001</c:v>
                </c:pt>
                <c:pt idx="9">
                  <c:v>2.714</c:v>
                </c:pt>
                <c:pt idx="10">
                  <c:v>2.891</c:v>
                </c:pt>
              </c:numCache>
            </c:numRef>
          </c:val>
        </c:ser>
        <c:ser>
          <c:idx val="5"/>
          <c:order val="5"/>
          <c:tx>
            <c:strRef>
              <c:f>'Section 10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country'!$C$12:$M$12</c:f>
              <c:numCache>
                <c:formatCode>#,##0</c:formatCode>
                <c:ptCount val="11"/>
                <c:pt idx="0">
                  <c:v>0.47899999999999998</c:v>
                </c:pt>
                <c:pt idx="1">
                  <c:v>0.64900000000000002</c:v>
                </c:pt>
                <c:pt idx="2">
                  <c:v>0.48699999999999999</c:v>
                </c:pt>
                <c:pt idx="3">
                  <c:v>1.6120000000000001</c:v>
                </c:pt>
                <c:pt idx="4">
                  <c:v>2.3420000000000001</c:v>
                </c:pt>
                <c:pt idx="5">
                  <c:v>8.0280000000000005</c:v>
                </c:pt>
                <c:pt idx="6">
                  <c:v>0.64400000000000002</c:v>
                </c:pt>
                <c:pt idx="7">
                  <c:v>0.93</c:v>
                </c:pt>
                <c:pt idx="8">
                  <c:v>0.88200000000000001</c:v>
                </c:pt>
                <c:pt idx="9">
                  <c:v>5.4580000000000002</c:v>
                </c:pt>
                <c:pt idx="10">
                  <c:v>1.105</c:v>
                </c:pt>
              </c:numCache>
            </c:numRef>
          </c:val>
        </c:ser>
        <c:ser>
          <c:idx val="6"/>
          <c:order val="6"/>
          <c:tx>
            <c:strRef>
              <c:f>'Section 10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country'!$C$13:$M$13</c:f>
              <c:numCache>
                <c:formatCode>#,##0</c:formatCode>
                <c:ptCount val="11"/>
                <c:pt idx="0">
                  <c:v>13.311999999999999</c:v>
                </c:pt>
                <c:pt idx="1">
                  <c:v>15.592000000000001</c:v>
                </c:pt>
                <c:pt idx="2">
                  <c:v>13.680999999999999</c:v>
                </c:pt>
                <c:pt idx="3">
                  <c:v>18.491</c:v>
                </c:pt>
                <c:pt idx="4">
                  <c:v>19.349</c:v>
                </c:pt>
                <c:pt idx="5">
                  <c:v>25.274999999999999</c:v>
                </c:pt>
                <c:pt idx="6">
                  <c:v>22.312000000000001</c:v>
                </c:pt>
                <c:pt idx="7">
                  <c:v>41.323</c:v>
                </c:pt>
                <c:pt idx="8">
                  <c:v>21.765000000000001</c:v>
                </c:pt>
                <c:pt idx="9">
                  <c:v>57.508000000000003</c:v>
                </c:pt>
                <c:pt idx="10">
                  <c:v>20.928000000000001</c:v>
                </c:pt>
              </c:numCache>
            </c:numRef>
          </c:val>
        </c:ser>
        <c:ser>
          <c:idx val="7"/>
          <c:order val="7"/>
          <c:tx>
            <c:strRef>
              <c:f>'Section 10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country'!$C$14:$M$14</c:f>
              <c:numCache>
                <c:formatCode>#,##0</c:formatCode>
                <c:ptCount val="11"/>
                <c:pt idx="0">
                  <c:v>27.157</c:v>
                </c:pt>
                <c:pt idx="1">
                  <c:v>18.818000000000001</c:v>
                </c:pt>
                <c:pt idx="2">
                  <c:v>21.478999999999999</c:v>
                </c:pt>
                <c:pt idx="3">
                  <c:v>25.933</c:v>
                </c:pt>
                <c:pt idx="4">
                  <c:v>23.922000000000001</c:v>
                </c:pt>
                <c:pt idx="5">
                  <c:v>20.381</c:v>
                </c:pt>
                <c:pt idx="6">
                  <c:v>24.646000000000001</c:v>
                </c:pt>
                <c:pt idx="7">
                  <c:v>23.984000000000002</c:v>
                </c:pt>
                <c:pt idx="8">
                  <c:v>24.838000000000001</c:v>
                </c:pt>
                <c:pt idx="9">
                  <c:v>27.324000000000002</c:v>
                </c:pt>
                <c:pt idx="10">
                  <c:v>24.099</c:v>
                </c:pt>
              </c:numCache>
            </c:numRef>
          </c:val>
        </c:ser>
        <c:ser>
          <c:idx val="8"/>
          <c:order val="8"/>
          <c:tx>
            <c:strRef>
              <c:f>'Section 10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country'!$C$15:$M$15</c:f>
              <c:numCache>
                <c:formatCode>#,##0</c:formatCode>
                <c:ptCount val="11"/>
                <c:pt idx="0">
                  <c:v>531.601</c:v>
                </c:pt>
                <c:pt idx="1">
                  <c:v>364.50599999999997</c:v>
                </c:pt>
                <c:pt idx="2">
                  <c:v>306.07900000000001</c:v>
                </c:pt>
                <c:pt idx="3">
                  <c:v>284.392</c:v>
                </c:pt>
                <c:pt idx="4">
                  <c:v>284.07400000000001</c:v>
                </c:pt>
                <c:pt idx="5">
                  <c:v>239.82499999999999</c:v>
                </c:pt>
                <c:pt idx="6">
                  <c:v>343.99200000000002</c:v>
                </c:pt>
                <c:pt idx="7">
                  <c:v>312.86099999999999</c:v>
                </c:pt>
                <c:pt idx="8">
                  <c:v>253.268</c:v>
                </c:pt>
                <c:pt idx="9">
                  <c:v>446.40800000000002</c:v>
                </c:pt>
                <c:pt idx="10">
                  <c:v>184.489</c:v>
                </c:pt>
              </c:numCache>
            </c:numRef>
          </c:val>
        </c:ser>
        <c:ser>
          <c:idx val="9"/>
          <c:order val="9"/>
          <c:tx>
            <c:strRef>
              <c:f>'Section 10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country'!$C$16:$M$16</c:f>
              <c:numCache>
                <c:formatCode>#,##0</c:formatCode>
                <c:ptCount val="11"/>
                <c:pt idx="0">
                  <c:v>45.831000000000003</c:v>
                </c:pt>
                <c:pt idx="1">
                  <c:v>60.098999999999997</c:v>
                </c:pt>
                <c:pt idx="2">
                  <c:v>50.536000000000001</c:v>
                </c:pt>
                <c:pt idx="3">
                  <c:v>60.746000000000002</c:v>
                </c:pt>
                <c:pt idx="4">
                  <c:v>62.706000000000003</c:v>
                </c:pt>
                <c:pt idx="5">
                  <c:v>74.778000000000006</c:v>
                </c:pt>
                <c:pt idx="6">
                  <c:v>89.826999999999998</c:v>
                </c:pt>
                <c:pt idx="7">
                  <c:v>77.070999999999998</c:v>
                </c:pt>
                <c:pt idx="8">
                  <c:v>63.811999999999998</c:v>
                </c:pt>
                <c:pt idx="9">
                  <c:v>95.016999999999996</c:v>
                </c:pt>
                <c:pt idx="10">
                  <c:v>59.436999999999998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country'!$C$17:$M$17</c:f>
              <c:numCache>
                <c:formatCode>#,##0</c:formatCode>
                <c:ptCount val="11"/>
                <c:pt idx="0">
                  <c:v>6.26</c:v>
                </c:pt>
                <c:pt idx="1">
                  <c:v>7.4960000000000004</c:v>
                </c:pt>
                <c:pt idx="2">
                  <c:v>7.3289999999999997</c:v>
                </c:pt>
                <c:pt idx="3">
                  <c:v>5.2220000000000004</c:v>
                </c:pt>
                <c:pt idx="4">
                  <c:v>6.5110000000000001</c:v>
                </c:pt>
                <c:pt idx="5">
                  <c:v>18.823</c:v>
                </c:pt>
                <c:pt idx="6">
                  <c:v>9.0670000000000002</c:v>
                </c:pt>
                <c:pt idx="7">
                  <c:v>6.3719999999999999</c:v>
                </c:pt>
                <c:pt idx="8">
                  <c:v>8.7929999999999993</c:v>
                </c:pt>
                <c:pt idx="9">
                  <c:v>40.031999999999996</c:v>
                </c:pt>
                <c:pt idx="10">
                  <c:v>9.5969999999999995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country'!$C$18:$M$18</c:f>
              <c:numCache>
                <c:formatCode>#,##0</c:formatCode>
                <c:ptCount val="11"/>
                <c:pt idx="0">
                  <c:v>49.295000000000002</c:v>
                </c:pt>
                <c:pt idx="1">
                  <c:v>49.463000000000001</c:v>
                </c:pt>
                <c:pt idx="2">
                  <c:v>51.792000000000002</c:v>
                </c:pt>
                <c:pt idx="3">
                  <c:v>62.314999999999998</c:v>
                </c:pt>
                <c:pt idx="4">
                  <c:v>53.054000000000002</c:v>
                </c:pt>
                <c:pt idx="5">
                  <c:v>60.503999999999998</c:v>
                </c:pt>
                <c:pt idx="6">
                  <c:v>62.692999999999998</c:v>
                </c:pt>
                <c:pt idx="7">
                  <c:v>52.445999999999998</c:v>
                </c:pt>
                <c:pt idx="8">
                  <c:v>43.613</c:v>
                </c:pt>
                <c:pt idx="9">
                  <c:v>43.976999999999997</c:v>
                </c:pt>
                <c:pt idx="10">
                  <c:v>60.320999999999998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country'!$C$19:$M$19</c:f>
              <c:numCache>
                <c:formatCode>#,##0</c:formatCode>
                <c:ptCount val="11"/>
                <c:pt idx="0">
                  <c:v>119.86199999999999</c:v>
                </c:pt>
                <c:pt idx="1">
                  <c:v>129.88900000000001</c:v>
                </c:pt>
                <c:pt idx="2">
                  <c:v>145.24</c:v>
                </c:pt>
                <c:pt idx="3">
                  <c:v>143.47499999999999</c:v>
                </c:pt>
                <c:pt idx="4">
                  <c:v>128.51900000000001</c:v>
                </c:pt>
                <c:pt idx="5">
                  <c:v>131.70500000000001</c:v>
                </c:pt>
                <c:pt idx="6">
                  <c:v>120.569</c:v>
                </c:pt>
                <c:pt idx="7">
                  <c:v>117.768</c:v>
                </c:pt>
                <c:pt idx="8">
                  <c:v>98.951999999999998</c:v>
                </c:pt>
                <c:pt idx="9">
                  <c:v>101.836</c:v>
                </c:pt>
                <c:pt idx="10">
                  <c:v>95.403999999999996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country'!$C$20:$M$20</c:f>
              <c:numCache>
                <c:formatCode>#,##0</c:formatCode>
                <c:ptCount val="11"/>
                <c:pt idx="0">
                  <c:v>100.446</c:v>
                </c:pt>
                <c:pt idx="1">
                  <c:v>103.867</c:v>
                </c:pt>
                <c:pt idx="2">
                  <c:v>116.056</c:v>
                </c:pt>
                <c:pt idx="3">
                  <c:v>99.02</c:v>
                </c:pt>
                <c:pt idx="4">
                  <c:v>111.05200000000001</c:v>
                </c:pt>
                <c:pt idx="5">
                  <c:v>93.95</c:v>
                </c:pt>
                <c:pt idx="6">
                  <c:v>80.665999999999997</c:v>
                </c:pt>
                <c:pt idx="7">
                  <c:v>90.037999999999997</c:v>
                </c:pt>
                <c:pt idx="8">
                  <c:v>66.185000000000002</c:v>
                </c:pt>
                <c:pt idx="9">
                  <c:v>208.17400000000001</c:v>
                </c:pt>
                <c:pt idx="10">
                  <c:v>75.813999999999993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1237120"/>
        <c:axId val="191239296"/>
      </c:barChart>
      <c:catAx>
        <c:axId val="19123712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239296"/>
        <c:crosses val="autoZero"/>
        <c:auto val="1"/>
        <c:lblAlgn val="ctr"/>
        <c:lblOffset val="100"/>
        <c:noMultiLvlLbl val="0"/>
      </c:catAx>
      <c:valAx>
        <c:axId val="191239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2371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pieChart>
        <c:varyColors val="1"/>
        <c:ser>
          <c:idx val="0"/>
          <c:order val="0"/>
          <c:tx>
            <c:strRef>
              <c:f>'Eng Table 4'!$B$7</c:f>
              <c:strCache>
                <c:ptCount val="1"/>
                <c:pt idx="0">
                  <c:v>England</c:v>
                </c:pt>
              </c:strCache>
            </c:strRef>
          </c:tx>
          <c:dPt>
            <c:idx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'Eng 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4'!$C$8:$C$22</c:f>
              <c:numCache>
                <c:formatCode>#,##0</c:formatCode>
                <c:ptCount val="15"/>
                <c:pt idx="0">
                  <c:v>786995.26634359232</c:v>
                </c:pt>
                <c:pt idx="1">
                  <c:v>316174.70609343774</c:v>
                </c:pt>
                <c:pt idx="2">
                  <c:v>20256.773381101819</c:v>
                </c:pt>
                <c:pt idx="3">
                  <c:v>9433.6512678435429</c:v>
                </c:pt>
                <c:pt idx="4">
                  <c:v>22127.928688591506</c:v>
                </c:pt>
                <c:pt idx="5">
                  <c:v>28273.38107718858</c:v>
                </c:pt>
                <c:pt idx="6">
                  <c:v>75302.788354436096</c:v>
                </c:pt>
                <c:pt idx="7">
                  <c:v>2289.7086795212203</c:v>
                </c:pt>
                <c:pt idx="8">
                  <c:v>122.79757252259499</c:v>
                </c:pt>
                <c:pt idx="9">
                  <c:v>4783.1398685045406</c:v>
                </c:pt>
                <c:pt idx="10">
                  <c:v>27792.398034285721</c:v>
                </c:pt>
                <c:pt idx="11">
                  <c:v>4099.5551026040639</c:v>
                </c:pt>
                <c:pt idx="12">
                  <c:v>0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71923930923942"/>
          <c:y val="0.10030376921771236"/>
          <c:w val="0.24829010530336712"/>
          <c:h val="0.8076479510518488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country'!$C$7:$M$7</c:f>
              <c:numCache>
                <c:formatCode>#,##0</c:formatCode>
                <c:ptCount val="11"/>
                <c:pt idx="0">
                  <c:v>169.035</c:v>
                </c:pt>
                <c:pt idx="1">
                  <c:v>120.30500000000001</c:v>
                </c:pt>
                <c:pt idx="2">
                  <c:v>143.113</c:v>
                </c:pt>
                <c:pt idx="3">
                  <c:v>145.471</c:v>
                </c:pt>
                <c:pt idx="4">
                  <c:v>109.753</c:v>
                </c:pt>
                <c:pt idx="5">
                  <c:v>130.58199999999999</c:v>
                </c:pt>
                <c:pt idx="6">
                  <c:v>116.366</c:v>
                </c:pt>
                <c:pt idx="7">
                  <c:v>99.707999999999998</c:v>
                </c:pt>
                <c:pt idx="8">
                  <c:v>108.762</c:v>
                </c:pt>
                <c:pt idx="9">
                  <c:v>188.303</c:v>
                </c:pt>
                <c:pt idx="10">
                  <c:v>95.311000000000007</c:v>
                </c:pt>
              </c:numCache>
            </c:numRef>
          </c:val>
        </c:ser>
        <c:ser>
          <c:idx val="1"/>
          <c:order val="1"/>
          <c:tx>
            <c:strRef>
              <c:f>'Section 10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country'!$C$8:$M$8</c:f>
              <c:numCache>
                <c:formatCode>#,##0</c:formatCode>
                <c:ptCount val="11"/>
                <c:pt idx="0">
                  <c:v>75.849000000000004</c:v>
                </c:pt>
                <c:pt idx="1">
                  <c:v>72.099999999999994</c:v>
                </c:pt>
                <c:pt idx="2">
                  <c:v>72.724000000000004</c:v>
                </c:pt>
                <c:pt idx="3">
                  <c:v>92.063000000000002</c:v>
                </c:pt>
                <c:pt idx="4">
                  <c:v>76.516999999999996</c:v>
                </c:pt>
                <c:pt idx="5">
                  <c:v>89.004999999999995</c:v>
                </c:pt>
                <c:pt idx="6">
                  <c:v>84.558000000000007</c:v>
                </c:pt>
                <c:pt idx="7">
                  <c:v>105.60299999999999</c:v>
                </c:pt>
                <c:pt idx="8">
                  <c:v>84.367999999999995</c:v>
                </c:pt>
                <c:pt idx="9">
                  <c:v>92.313000000000002</c:v>
                </c:pt>
                <c:pt idx="10">
                  <c:v>138.72300000000001</c:v>
                </c:pt>
              </c:numCache>
            </c:numRef>
          </c:val>
        </c:ser>
        <c:ser>
          <c:idx val="2"/>
          <c:order val="2"/>
          <c:tx>
            <c:strRef>
              <c:f>'Section 10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country'!$C$9:$M$9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</c:ser>
        <c:ser>
          <c:idx val="3"/>
          <c:order val="3"/>
          <c:tx>
            <c:strRef>
              <c:f>'Section 10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country'!$C$10:$M$10</c:f>
              <c:numCache>
                <c:formatCode>#,##0</c:formatCode>
                <c:ptCount val="11"/>
                <c:pt idx="0">
                  <c:v>47.417000000000002</c:v>
                </c:pt>
                <c:pt idx="1">
                  <c:v>51.014000000000003</c:v>
                </c:pt>
                <c:pt idx="2">
                  <c:v>45.317</c:v>
                </c:pt>
                <c:pt idx="3">
                  <c:v>38.831000000000003</c:v>
                </c:pt>
                <c:pt idx="4">
                  <c:v>47.055999999999997</c:v>
                </c:pt>
                <c:pt idx="5">
                  <c:v>33.167999999999999</c:v>
                </c:pt>
                <c:pt idx="6">
                  <c:v>34.295999999999999</c:v>
                </c:pt>
                <c:pt idx="7">
                  <c:v>27.609000000000002</c:v>
                </c:pt>
                <c:pt idx="8">
                  <c:v>43.662999999999997</c:v>
                </c:pt>
                <c:pt idx="9">
                  <c:v>33.423000000000002</c:v>
                </c:pt>
                <c:pt idx="10">
                  <c:v>31.556000000000001</c:v>
                </c:pt>
              </c:numCache>
            </c:numRef>
          </c:val>
        </c:ser>
        <c:ser>
          <c:idx val="4"/>
          <c:order val="4"/>
          <c:tx>
            <c:strRef>
              <c:f>'Section 10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country'!$C$11:$M$11</c:f>
              <c:numCache>
                <c:formatCode>#,##0</c:formatCode>
                <c:ptCount val="11"/>
                <c:pt idx="0">
                  <c:v>2.827</c:v>
                </c:pt>
                <c:pt idx="1">
                  <c:v>7.97</c:v>
                </c:pt>
                <c:pt idx="2">
                  <c:v>6.3460000000000001</c:v>
                </c:pt>
                <c:pt idx="3">
                  <c:v>4.5709999999999997</c:v>
                </c:pt>
                <c:pt idx="4">
                  <c:v>5.9619999999999997</c:v>
                </c:pt>
                <c:pt idx="5">
                  <c:v>5.3179999999999996</c:v>
                </c:pt>
                <c:pt idx="6">
                  <c:v>3.9620000000000002</c:v>
                </c:pt>
                <c:pt idx="7">
                  <c:v>5.4340000000000002</c:v>
                </c:pt>
                <c:pt idx="8">
                  <c:v>2.8580000000000001</c:v>
                </c:pt>
                <c:pt idx="9">
                  <c:v>2.714</c:v>
                </c:pt>
                <c:pt idx="10">
                  <c:v>2.891</c:v>
                </c:pt>
              </c:numCache>
            </c:numRef>
          </c:val>
        </c:ser>
        <c:ser>
          <c:idx val="5"/>
          <c:order val="5"/>
          <c:tx>
            <c:strRef>
              <c:f>'Section 10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country'!$C$12:$M$12</c:f>
              <c:numCache>
                <c:formatCode>#,##0</c:formatCode>
                <c:ptCount val="11"/>
                <c:pt idx="0">
                  <c:v>0.47899999999999998</c:v>
                </c:pt>
                <c:pt idx="1">
                  <c:v>0.64900000000000002</c:v>
                </c:pt>
                <c:pt idx="2">
                  <c:v>0.48699999999999999</c:v>
                </c:pt>
                <c:pt idx="3">
                  <c:v>1.6120000000000001</c:v>
                </c:pt>
                <c:pt idx="4">
                  <c:v>2.3420000000000001</c:v>
                </c:pt>
                <c:pt idx="5">
                  <c:v>8.0280000000000005</c:v>
                </c:pt>
                <c:pt idx="6">
                  <c:v>0.64400000000000002</c:v>
                </c:pt>
                <c:pt idx="7">
                  <c:v>0.93</c:v>
                </c:pt>
                <c:pt idx="8">
                  <c:v>0.88200000000000001</c:v>
                </c:pt>
                <c:pt idx="9">
                  <c:v>5.4580000000000002</c:v>
                </c:pt>
                <c:pt idx="10">
                  <c:v>1.105</c:v>
                </c:pt>
              </c:numCache>
            </c:numRef>
          </c:val>
        </c:ser>
        <c:ser>
          <c:idx val="6"/>
          <c:order val="6"/>
          <c:tx>
            <c:strRef>
              <c:f>'Section 10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country'!$C$13:$M$13</c:f>
              <c:numCache>
                <c:formatCode>#,##0</c:formatCode>
                <c:ptCount val="11"/>
                <c:pt idx="0">
                  <c:v>13.311999999999999</c:v>
                </c:pt>
                <c:pt idx="1">
                  <c:v>15.592000000000001</c:v>
                </c:pt>
                <c:pt idx="2">
                  <c:v>13.680999999999999</c:v>
                </c:pt>
                <c:pt idx="3">
                  <c:v>18.491</c:v>
                </c:pt>
                <c:pt idx="4">
                  <c:v>19.349</c:v>
                </c:pt>
                <c:pt idx="5">
                  <c:v>25.274999999999999</c:v>
                </c:pt>
                <c:pt idx="6">
                  <c:v>22.312000000000001</c:v>
                </c:pt>
                <c:pt idx="7">
                  <c:v>41.323</c:v>
                </c:pt>
                <c:pt idx="8">
                  <c:v>21.765000000000001</c:v>
                </c:pt>
                <c:pt idx="9">
                  <c:v>57.508000000000003</c:v>
                </c:pt>
                <c:pt idx="10">
                  <c:v>20.928000000000001</c:v>
                </c:pt>
              </c:numCache>
            </c:numRef>
          </c:val>
        </c:ser>
        <c:ser>
          <c:idx val="7"/>
          <c:order val="7"/>
          <c:tx>
            <c:strRef>
              <c:f>'Section 10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country'!$C$14:$M$14</c:f>
              <c:numCache>
                <c:formatCode>#,##0</c:formatCode>
                <c:ptCount val="11"/>
                <c:pt idx="0">
                  <c:v>27.157</c:v>
                </c:pt>
                <c:pt idx="1">
                  <c:v>18.818000000000001</c:v>
                </c:pt>
                <c:pt idx="2">
                  <c:v>21.478999999999999</c:v>
                </c:pt>
                <c:pt idx="3">
                  <c:v>25.933</c:v>
                </c:pt>
                <c:pt idx="4">
                  <c:v>23.922000000000001</c:v>
                </c:pt>
                <c:pt idx="5">
                  <c:v>20.381</c:v>
                </c:pt>
                <c:pt idx="6">
                  <c:v>24.646000000000001</c:v>
                </c:pt>
                <c:pt idx="7">
                  <c:v>23.984000000000002</c:v>
                </c:pt>
                <c:pt idx="8">
                  <c:v>24.838000000000001</c:v>
                </c:pt>
                <c:pt idx="9">
                  <c:v>27.324000000000002</c:v>
                </c:pt>
                <c:pt idx="10">
                  <c:v>24.099</c:v>
                </c:pt>
              </c:numCache>
            </c:numRef>
          </c:val>
        </c:ser>
        <c:ser>
          <c:idx val="8"/>
          <c:order val="8"/>
          <c:tx>
            <c:strRef>
              <c:f>'Section 10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country'!$C$15:$M$15</c:f>
              <c:numCache>
                <c:formatCode>#,##0</c:formatCode>
                <c:ptCount val="11"/>
                <c:pt idx="0">
                  <c:v>531.601</c:v>
                </c:pt>
                <c:pt idx="1">
                  <c:v>364.50599999999997</c:v>
                </c:pt>
                <c:pt idx="2">
                  <c:v>306.07900000000001</c:v>
                </c:pt>
                <c:pt idx="3">
                  <c:v>284.392</c:v>
                </c:pt>
                <c:pt idx="4">
                  <c:v>284.07400000000001</c:v>
                </c:pt>
                <c:pt idx="5">
                  <c:v>239.82499999999999</c:v>
                </c:pt>
                <c:pt idx="6">
                  <c:v>343.99200000000002</c:v>
                </c:pt>
                <c:pt idx="7">
                  <c:v>312.86099999999999</c:v>
                </c:pt>
                <c:pt idx="8">
                  <c:v>253.268</c:v>
                </c:pt>
                <c:pt idx="9">
                  <c:v>446.40800000000002</c:v>
                </c:pt>
                <c:pt idx="10">
                  <c:v>184.489</c:v>
                </c:pt>
              </c:numCache>
            </c:numRef>
          </c:val>
        </c:ser>
        <c:ser>
          <c:idx val="9"/>
          <c:order val="9"/>
          <c:tx>
            <c:strRef>
              <c:f>'Section 10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country'!$C$16:$M$16</c:f>
              <c:numCache>
                <c:formatCode>#,##0</c:formatCode>
                <c:ptCount val="11"/>
                <c:pt idx="0">
                  <c:v>45.831000000000003</c:v>
                </c:pt>
                <c:pt idx="1">
                  <c:v>60.098999999999997</c:v>
                </c:pt>
                <c:pt idx="2">
                  <c:v>50.536000000000001</c:v>
                </c:pt>
                <c:pt idx="3">
                  <c:v>60.746000000000002</c:v>
                </c:pt>
                <c:pt idx="4">
                  <c:v>62.706000000000003</c:v>
                </c:pt>
                <c:pt idx="5">
                  <c:v>74.778000000000006</c:v>
                </c:pt>
                <c:pt idx="6">
                  <c:v>89.826999999999998</c:v>
                </c:pt>
                <c:pt idx="7">
                  <c:v>77.070999999999998</c:v>
                </c:pt>
                <c:pt idx="8">
                  <c:v>63.811999999999998</c:v>
                </c:pt>
                <c:pt idx="9">
                  <c:v>95.016999999999996</c:v>
                </c:pt>
                <c:pt idx="10">
                  <c:v>59.436999999999998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country'!$C$17:$M$17</c:f>
              <c:numCache>
                <c:formatCode>#,##0</c:formatCode>
                <c:ptCount val="11"/>
                <c:pt idx="0">
                  <c:v>6.26</c:v>
                </c:pt>
                <c:pt idx="1">
                  <c:v>7.4960000000000004</c:v>
                </c:pt>
                <c:pt idx="2">
                  <c:v>7.3289999999999997</c:v>
                </c:pt>
                <c:pt idx="3">
                  <c:v>5.2220000000000004</c:v>
                </c:pt>
                <c:pt idx="4">
                  <c:v>6.5110000000000001</c:v>
                </c:pt>
                <c:pt idx="5">
                  <c:v>18.823</c:v>
                </c:pt>
                <c:pt idx="6">
                  <c:v>9.0670000000000002</c:v>
                </c:pt>
                <c:pt idx="7">
                  <c:v>6.3719999999999999</c:v>
                </c:pt>
                <c:pt idx="8">
                  <c:v>8.7929999999999993</c:v>
                </c:pt>
                <c:pt idx="9">
                  <c:v>40.031999999999996</c:v>
                </c:pt>
                <c:pt idx="10">
                  <c:v>9.5969999999999995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country'!$C$18:$M$18</c:f>
              <c:numCache>
                <c:formatCode>#,##0</c:formatCode>
                <c:ptCount val="11"/>
                <c:pt idx="0">
                  <c:v>49.295000000000002</c:v>
                </c:pt>
                <c:pt idx="1">
                  <c:v>49.463000000000001</c:v>
                </c:pt>
                <c:pt idx="2">
                  <c:v>51.792000000000002</c:v>
                </c:pt>
                <c:pt idx="3">
                  <c:v>62.314999999999998</c:v>
                </c:pt>
                <c:pt idx="4">
                  <c:v>53.054000000000002</c:v>
                </c:pt>
                <c:pt idx="5">
                  <c:v>60.503999999999998</c:v>
                </c:pt>
                <c:pt idx="6">
                  <c:v>62.692999999999998</c:v>
                </c:pt>
                <c:pt idx="7">
                  <c:v>52.445999999999998</c:v>
                </c:pt>
                <c:pt idx="8">
                  <c:v>43.613</c:v>
                </c:pt>
                <c:pt idx="9">
                  <c:v>43.976999999999997</c:v>
                </c:pt>
                <c:pt idx="10">
                  <c:v>60.320999999999998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country'!$C$19:$M$19</c:f>
              <c:numCache>
                <c:formatCode>#,##0</c:formatCode>
                <c:ptCount val="11"/>
                <c:pt idx="0">
                  <c:v>119.86199999999999</c:v>
                </c:pt>
                <c:pt idx="1">
                  <c:v>129.88900000000001</c:v>
                </c:pt>
                <c:pt idx="2">
                  <c:v>145.24</c:v>
                </c:pt>
                <c:pt idx="3">
                  <c:v>143.47499999999999</c:v>
                </c:pt>
                <c:pt idx="4">
                  <c:v>128.51900000000001</c:v>
                </c:pt>
                <c:pt idx="5">
                  <c:v>131.70500000000001</c:v>
                </c:pt>
                <c:pt idx="6">
                  <c:v>120.569</c:v>
                </c:pt>
                <c:pt idx="7">
                  <c:v>117.768</c:v>
                </c:pt>
                <c:pt idx="8">
                  <c:v>98.951999999999998</c:v>
                </c:pt>
                <c:pt idx="9">
                  <c:v>101.836</c:v>
                </c:pt>
                <c:pt idx="10">
                  <c:v>95.403999999999996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country'!$C$20:$M$20</c:f>
              <c:numCache>
                <c:formatCode>#,##0</c:formatCode>
                <c:ptCount val="11"/>
                <c:pt idx="0">
                  <c:v>100.446</c:v>
                </c:pt>
                <c:pt idx="1">
                  <c:v>103.867</c:v>
                </c:pt>
                <c:pt idx="2">
                  <c:v>116.056</c:v>
                </c:pt>
                <c:pt idx="3">
                  <c:v>99.02</c:v>
                </c:pt>
                <c:pt idx="4">
                  <c:v>111.05200000000001</c:v>
                </c:pt>
                <c:pt idx="5">
                  <c:v>93.95</c:v>
                </c:pt>
                <c:pt idx="6">
                  <c:v>80.665999999999997</c:v>
                </c:pt>
                <c:pt idx="7">
                  <c:v>90.037999999999997</c:v>
                </c:pt>
                <c:pt idx="8">
                  <c:v>66.185000000000002</c:v>
                </c:pt>
                <c:pt idx="9">
                  <c:v>208.17400000000001</c:v>
                </c:pt>
                <c:pt idx="10">
                  <c:v>75.813999999999993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2312064"/>
        <c:axId val="192313984"/>
      </c:barChart>
      <c:catAx>
        <c:axId val="192312064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2313984"/>
        <c:crosses val="autoZero"/>
        <c:auto val="1"/>
        <c:lblAlgn val="ctr"/>
        <c:lblOffset val="100"/>
        <c:noMultiLvlLbl val="0"/>
      </c:catAx>
      <c:valAx>
        <c:axId val="192313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23120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333955413621326"/>
          <c:y val="5.9242421396672691E-2"/>
          <c:w val="0.32845979112437323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softwood forecast showing contribution by Aligned Area (PS)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country'!$C$47:$M$47</c:f>
              <c:numCache>
                <c:formatCode>#,##0</c:formatCode>
                <c:ptCount val="11"/>
                <c:pt idx="0">
                  <c:v>238.006</c:v>
                </c:pt>
                <c:pt idx="1">
                  <c:v>258.863</c:v>
                </c:pt>
                <c:pt idx="2">
                  <c:v>420.42200000000003</c:v>
                </c:pt>
                <c:pt idx="3">
                  <c:v>350.44</c:v>
                </c:pt>
                <c:pt idx="4">
                  <c:v>257.19099999999997</c:v>
                </c:pt>
                <c:pt idx="5">
                  <c:v>166.393</c:v>
                </c:pt>
                <c:pt idx="6">
                  <c:v>201.227</c:v>
                </c:pt>
                <c:pt idx="7">
                  <c:v>148.386</c:v>
                </c:pt>
                <c:pt idx="8">
                  <c:v>183.33199999999999</c:v>
                </c:pt>
                <c:pt idx="9">
                  <c:v>200.94499999999999</c:v>
                </c:pt>
                <c:pt idx="10">
                  <c:v>184.821</c:v>
                </c:pt>
              </c:numCache>
            </c:numRef>
          </c:val>
        </c:ser>
        <c:ser>
          <c:idx val="1"/>
          <c:order val="1"/>
          <c:tx>
            <c:strRef>
              <c:f>'Section 10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country'!$C$48:$M$48</c:f>
              <c:numCache>
                <c:formatCode>#,##0</c:formatCode>
                <c:ptCount val="11"/>
                <c:pt idx="0">
                  <c:v>330.42700000000002</c:v>
                </c:pt>
                <c:pt idx="1">
                  <c:v>520.34100000000001</c:v>
                </c:pt>
                <c:pt idx="2">
                  <c:v>232.18</c:v>
                </c:pt>
                <c:pt idx="3">
                  <c:v>212.33600000000001</c:v>
                </c:pt>
                <c:pt idx="4">
                  <c:v>227.797</c:v>
                </c:pt>
                <c:pt idx="5">
                  <c:v>166.84</c:v>
                </c:pt>
                <c:pt idx="6">
                  <c:v>181.90899999999999</c:v>
                </c:pt>
                <c:pt idx="7">
                  <c:v>183.56899999999999</c:v>
                </c:pt>
                <c:pt idx="8">
                  <c:v>130.34399999999999</c:v>
                </c:pt>
                <c:pt idx="9">
                  <c:v>204.273</c:v>
                </c:pt>
                <c:pt idx="10">
                  <c:v>94.292000000000002</c:v>
                </c:pt>
              </c:numCache>
            </c:numRef>
          </c:val>
        </c:ser>
        <c:ser>
          <c:idx val="2"/>
          <c:order val="2"/>
          <c:tx>
            <c:strRef>
              <c:f>'Section 10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country'!$C$49:$M$49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</c:ser>
        <c:ser>
          <c:idx val="3"/>
          <c:order val="3"/>
          <c:tx>
            <c:strRef>
              <c:f>'Section 10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country'!$C$50:$M$50</c:f>
              <c:numCache>
                <c:formatCode>#,##0</c:formatCode>
                <c:ptCount val="11"/>
                <c:pt idx="0">
                  <c:v>80.561999999999998</c:v>
                </c:pt>
                <c:pt idx="1">
                  <c:v>104.88500000000001</c:v>
                </c:pt>
                <c:pt idx="2">
                  <c:v>134.94200000000001</c:v>
                </c:pt>
                <c:pt idx="3">
                  <c:v>136.261</c:v>
                </c:pt>
                <c:pt idx="4">
                  <c:v>63.215000000000003</c:v>
                </c:pt>
                <c:pt idx="5">
                  <c:v>80.111000000000004</c:v>
                </c:pt>
                <c:pt idx="6">
                  <c:v>83.795000000000002</c:v>
                </c:pt>
                <c:pt idx="7">
                  <c:v>53.311999999999998</c:v>
                </c:pt>
                <c:pt idx="8">
                  <c:v>45.841000000000001</c:v>
                </c:pt>
                <c:pt idx="9">
                  <c:v>78.244</c:v>
                </c:pt>
                <c:pt idx="10">
                  <c:v>54.173999999999999</c:v>
                </c:pt>
              </c:numCache>
            </c:numRef>
          </c:val>
        </c:ser>
        <c:ser>
          <c:idx val="4"/>
          <c:order val="4"/>
          <c:tx>
            <c:strRef>
              <c:f>'Section 10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country'!$C$51:$M$51</c:f>
              <c:numCache>
                <c:formatCode>#,##0</c:formatCode>
                <c:ptCount val="11"/>
                <c:pt idx="0">
                  <c:v>22.687000000000001</c:v>
                </c:pt>
                <c:pt idx="1">
                  <c:v>47.752000000000002</c:v>
                </c:pt>
                <c:pt idx="2">
                  <c:v>23.611000000000001</c:v>
                </c:pt>
                <c:pt idx="3">
                  <c:v>29.257999999999999</c:v>
                </c:pt>
                <c:pt idx="4">
                  <c:v>28.265000000000001</c:v>
                </c:pt>
                <c:pt idx="5">
                  <c:v>19.815999999999999</c:v>
                </c:pt>
                <c:pt idx="6">
                  <c:v>10.875</c:v>
                </c:pt>
                <c:pt idx="7">
                  <c:v>24.6</c:v>
                </c:pt>
                <c:pt idx="8">
                  <c:v>13.582000000000001</c:v>
                </c:pt>
                <c:pt idx="9">
                  <c:v>22.170999999999999</c:v>
                </c:pt>
                <c:pt idx="10">
                  <c:v>15.65</c:v>
                </c:pt>
              </c:numCache>
            </c:numRef>
          </c:val>
        </c:ser>
        <c:ser>
          <c:idx val="5"/>
          <c:order val="5"/>
          <c:tx>
            <c:strRef>
              <c:f>'Section 10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country'!$C$52:$M$52</c:f>
              <c:numCache>
                <c:formatCode>#,##0</c:formatCode>
                <c:ptCount val="11"/>
                <c:pt idx="0">
                  <c:v>27.053000000000001</c:v>
                </c:pt>
                <c:pt idx="1">
                  <c:v>62.036000000000001</c:v>
                </c:pt>
                <c:pt idx="2">
                  <c:v>48.756999999999998</c:v>
                </c:pt>
                <c:pt idx="3">
                  <c:v>21.864000000000001</c:v>
                </c:pt>
                <c:pt idx="4">
                  <c:v>52.98</c:v>
                </c:pt>
                <c:pt idx="5">
                  <c:v>58.429000000000002</c:v>
                </c:pt>
                <c:pt idx="6">
                  <c:v>11.055</c:v>
                </c:pt>
                <c:pt idx="7">
                  <c:v>36.366</c:v>
                </c:pt>
                <c:pt idx="8">
                  <c:v>24.172000000000001</c:v>
                </c:pt>
                <c:pt idx="9">
                  <c:v>15.317</c:v>
                </c:pt>
                <c:pt idx="10">
                  <c:v>17.748999999999999</c:v>
                </c:pt>
              </c:numCache>
            </c:numRef>
          </c:val>
        </c:ser>
        <c:ser>
          <c:idx val="6"/>
          <c:order val="6"/>
          <c:tx>
            <c:strRef>
              <c:f>'Section 10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country'!$C$53:$M$53</c:f>
              <c:numCache>
                <c:formatCode>#,##0</c:formatCode>
                <c:ptCount val="11"/>
                <c:pt idx="0">
                  <c:v>160.82599999999999</c:v>
                </c:pt>
                <c:pt idx="1">
                  <c:v>139.34299999999999</c:v>
                </c:pt>
                <c:pt idx="2">
                  <c:v>172.786</c:v>
                </c:pt>
                <c:pt idx="3">
                  <c:v>93.953999999999994</c:v>
                </c:pt>
                <c:pt idx="4">
                  <c:v>86.736999999999995</c:v>
                </c:pt>
                <c:pt idx="5">
                  <c:v>116.59699999999999</c:v>
                </c:pt>
                <c:pt idx="6">
                  <c:v>134.774</c:v>
                </c:pt>
                <c:pt idx="7">
                  <c:v>63.48</c:v>
                </c:pt>
                <c:pt idx="8">
                  <c:v>41.133000000000003</c:v>
                </c:pt>
                <c:pt idx="9">
                  <c:v>63.802999999999997</c:v>
                </c:pt>
                <c:pt idx="10">
                  <c:v>58.523000000000003</c:v>
                </c:pt>
              </c:numCache>
            </c:numRef>
          </c:val>
        </c:ser>
        <c:ser>
          <c:idx val="7"/>
          <c:order val="7"/>
          <c:tx>
            <c:strRef>
              <c:f>'Section 10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country'!$C$54:$M$54</c:f>
              <c:numCache>
                <c:formatCode>#,##0</c:formatCode>
                <c:ptCount val="11"/>
                <c:pt idx="0">
                  <c:v>67.429000000000002</c:v>
                </c:pt>
                <c:pt idx="1">
                  <c:v>57.585000000000001</c:v>
                </c:pt>
                <c:pt idx="2">
                  <c:v>42.152000000000001</c:v>
                </c:pt>
                <c:pt idx="3">
                  <c:v>70.442999999999998</c:v>
                </c:pt>
                <c:pt idx="4">
                  <c:v>80.106999999999999</c:v>
                </c:pt>
                <c:pt idx="5">
                  <c:v>47.362000000000002</c:v>
                </c:pt>
                <c:pt idx="6">
                  <c:v>67.798000000000002</c:v>
                </c:pt>
                <c:pt idx="7">
                  <c:v>42.78</c:v>
                </c:pt>
                <c:pt idx="8">
                  <c:v>60.563000000000002</c:v>
                </c:pt>
                <c:pt idx="9">
                  <c:v>51.89</c:v>
                </c:pt>
                <c:pt idx="10">
                  <c:v>26.802</c:v>
                </c:pt>
              </c:numCache>
            </c:numRef>
          </c:val>
        </c:ser>
        <c:ser>
          <c:idx val="8"/>
          <c:order val="8"/>
          <c:tx>
            <c:strRef>
              <c:f>'Section 10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country'!$C$55:$M$55</c:f>
              <c:numCache>
                <c:formatCode>#,##0</c:formatCode>
                <c:ptCount val="11"/>
                <c:pt idx="0">
                  <c:v>287.02800000000002</c:v>
                </c:pt>
                <c:pt idx="1">
                  <c:v>374.25299999999999</c:v>
                </c:pt>
                <c:pt idx="2">
                  <c:v>370.53500000000003</c:v>
                </c:pt>
                <c:pt idx="3">
                  <c:v>488.64299999999997</c:v>
                </c:pt>
                <c:pt idx="4">
                  <c:v>543.79</c:v>
                </c:pt>
                <c:pt idx="5">
                  <c:v>491.47399999999999</c:v>
                </c:pt>
                <c:pt idx="6">
                  <c:v>259.54899999999998</c:v>
                </c:pt>
                <c:pt idx="7">
                  <c:v>197.40799999999999</c:v>
                </c:pt>
                <c:pt idx="8">
                  <c:v>181.24</c:v>
                </c:pt>
                <c:pt idx="9">
                  <c:v>251.57900000000001</c:v>
                </c:pt>
                <c:pt idx="10">
                  <c:v>262.19400000000002</c:v>
                </c:pt>
              </c:numCache>
            </c:numRef>
          </c:val>
        </c:ser>
        <c:ser>
          <c:idx val="9"/>
          <c:order val="9"/>
          <c:tx>
            <c:strRef>
              <c:f>'Section 10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country'!$C$56:$M$56</c:f>
              <c:numCache>
                <c:formatCode>#,##0</c:formatCode>
                <c:ptCount val="11"/>
                <c:pt idx="0">
                  <c:v>215.75200000000001</c:v>
                </c:pt>
                <c:pt idx="1">
                  <c:v>244.52500000000001</c:v>
                </c:pt>
                <c:pt idx="2">
                  <c:v>207.72200000000001</c:v>
                </c:pt>
                <c:pt idx="3">
                  <c:v>217.655</c:v>
                </c:pt>
                <c:pt idx="4">
                  <c:v>220.10900000000001</c:v>
                </c:pt>
                <c:pt idx="5">
                  <c:v>136.70099999999999</c:v>
                </c:pt>
                <c:pt idx="6">
                  <c:v>145.036</c:v>
                </c:pt>
                <c:pt idx="7">
                  <c:v>114.54</c:v>
                </c:pt>
                <c:pt idx="8">
                  <c:v>152.94</c:v>
                </c:pt>
                <c:pt idx="9">
                  <c:v>108.004</c:v>
                </c:pt>
                <c:pt idx="10">
                  <c:v>84.272000000000006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country'!$C$57:$M$57</c:f>
              <c:numCache>
                <c:formatCode>#,##0</c:formatCode>
                <c:ptCount val="11"/>
                <c:pt idx="0">
                  <c:v>268.62799999999999</c:v>
                </c:pt>
                <c:pt idx="1">
                  <c:v>198.71100000000001</c:v>
                </c:pt>
                <c:pt idx="2">
                  <c:v>222.637</c:v>
                </c:pt>
                <c:pt idx="3">
                  <c:v>318.28699999999998</c:v>
                </c:pt>
                <c:pt idx="4">
                  <c:v>226.78299999999999</c:v>
                </c:pt>
                <c:pt idx="5">
                  <c:v>196.238</c:v>
                </c:pt>
                <c:pt idx="6">
                  <c:v>146.887</c:v>
                </c:pt>
                <c:pt idx="7">
                  <c:v>122.51900000000001</c:v>
                </c:pt>
                <c:pt idx="8">
                  <c:v>104.664</c:v>
                </c:pt>
                <c:pt idx="9">
                  <c:v>92.727999999999994</c:v>
                </c:pt>
                <c:pt idx="10">
                  <c:v>105.907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country'!$C$58:$M$58</c:f>
              <c:numCache>
                <c:formatCode>#,##0</c:formatCode>
                <c:ptCount val="11"/>
                <c:pt idx="0">
                  <c:v>352.09399999999999</c:v>
                </c:pt>
                <c:pt idx="1">
                  <c:v>312.339</c:v>
                </c:pt>
                <c:pt idx="2">
                  <c:v>247.75899999999999</c:v>
                </c:pt>
                <c:pt idx="3">
                  <c:v>245.41300000000001</c:v>
                </c:pt>
                <c:pt idx="4">
                  <c:v>187.584</c:v>
                </c:pt>
                <c:pt idx="5">
                  <c:v>155.52799999999999</c:v>
                </c:pt>
                <c:pt idx="6">
                  <c:v>129.36000000000001</c:v>
                </c:pt>
                <c:pt idx="7">
                  <c:v>107.85599999999999</c:v>
                </c:pt>
                <c:pt idx="8">
                  <c:v>108.97</c:v>
                </c:pt>
                <c:pt idx="9">
                  <c:v>136.33500000000001</c:v>
                </c:pt>
                <c:pt idx="10">
                  <c:v>106.096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country'!$C$59:$M$59</c:f>
              <c:numCache>
                <c:formatCode>#,##0</c:formatCode>
                <c:ptCount val="11"/>
                <c:pt idx="0">
                  <c:v>467.99599999999998</c:v>
                </c:pt>
                <c:pt idx="1">
                  <c:v>420.09199999999998</c:v>
                </c:pt>
                <c:pt idx="2">
                  <c:v>370.84199999999998</c:v>
                </c:pt>
                <c:pt idx="3">
                  <c:v>286.964</c:v>
                </c:pt>
                <c:pt idx="4">
                  <c:v>446.91</c:v>
                </c:pt>
                <c:pt idx="5">
                  <c:v>221.53100000000001</c:v>
                </c:pt>
                <c:pt idx="6">
                  <c:v>162.16200000000001</c:v>
                </c:pt>
                <c:pt idx="7">
                  <c:v>200.52600000000001</c:v>
                </c:pt>
                <c:pt idx="8">
                  <c:v>140.03</c:v>
                </c:pt>
                <c:pt idx="9">
                  <c:v>150.005</c:v>
                </c:pt>
                <c:pt idx="10">
                  <c:v>467.99599999999998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country'!$C$60:$M$60</c:f>
              <c:numCache>
                <c:formatCode>#,##0</c:formatCode>
                <c:ptCount val="11"/>
                <c:pt idx="0">
                  <c:v>273.24700000000001</c:v>
                </c:pt>
                <c:pt idx="1">
                  <c:v>322.80900000000003</c:v>
                </c:pt>
                <c:pt idx="2">
                  <c:v>297.791</c:v>
                </c:pt>
                <c:pt idx="3">
                  <c:v>329.38299999999998</c:v>
                </c:pt>
                <c:pt idx="4">
                  <c:v>219.03200000000001</c:v>
                </c:pt>
                <c:pt idx="5">
                  <c:v>201.93100000000001</c:v>
                </c:pt>
                <c:pt idx="6">
                  <c:v>170.36799999999999</c:v>
                </c:pt>
                <c:pt idx="7">
                  <c:v>171.24199999999999</c:v>
                </c:pt>
                <c:pt idx="8">
                  <c:v>142.273</c:v>
                </c:pt>
                <c:pt idx="9">
                  <c:v>158.34700000000001</c:v>
                </c:pt>
                <c:pt idx="10">
                  <c:v>158.708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2111744"/>
        <c:axId val="192113664"/>
      </c:barChart>
      <c:catAx>
        <c:axId val="192111744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2113664"/>
        <c:crosses val="autoZero"/>
        <c:auto val="1"/>
        <c:lblAlgn val="ctr"/>
        <c:lblOffset val="100"/>
        <c:noMultiLvlLbl val="0"/>
      </c:catAx>
      <c:valAx>
        <c:axId val="192113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21117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10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country'!$C$47:$M$47</c:f>
              <c:numCache>
                <c:formatCode>#,##0</c:formatCode>
                <c:ptCount val="11"/>
                <c:pt idx="0">
                  <c:v>238.006</c:v>
                </c:pt>
                <c:pt idx="1">
                  <c:v>258.863</c:v>
                </c:pt>
                <c:pt idx="2">
                  <c:v>420.42200000000003</c:v>
                </c:pt>
                <c:pt idx="3">
                  <c:v>350.44</c:v>
                </c:pt>
                <c:pt idx="4">
                  <c:v>257.19099999999997</c:v>
                </c:pt>
                <c:pt idx="5">
                  <c:v>166.393</c:v>
                </c:pt>
                <c:pt idx="6">
                  <c:v>201.227</c:v>
                </c:pt>
                <c:pt idx="7">
                  <c:v>148.386</c:v>
                </c:pt>
                <c:pt idx="8">
                  <c:v>183.33199999999999</c:v>
                </c:pt>
                <c:pt idx="9">
                  <c:v>200.94499999999999</c:v>
                </c:pt>
                <c:pt idx="10">
                  <c:v>184.821</c:v>
                </c:pt>
              </c:numCache>
            </c:numRef>
          </c:val>
        </c:ser>
        <c:ser>
          <c:idx val="1"/>
          <c:order val="1"/>
          <c:tx>
            <c:strRef>
              <c:f>'Section 10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country'!$C$48:$M$48</c:f>
              <c:numCache>
                <c:formatCode>#,##0</c:formatCode>
                <c:ptCount val="11"/>
                <c:pt idx="0">
                  <c:v>330.42700000000002</c:v>
                </c:pt>
                <c:pt idx="1">
                  <c:v>520.34100000000001</c:v>
                </c:pt>
                <c:pt idx="2">
                  <c:v>232.18</c:v>
                </c:pt>
                <c:pt idx="3">
                  <c:v>212.33600000000001</c:v>
                </c:pt>
                <c:pt idx="4">
                  <c:v>227.797</c:v>
                </c:pt>
                <c:pt idx="5">
                  <c:v>166.84</c:v>
                </c:pt>
                <c:pt idx="6">
                  <c:v>181.90899999999999</c:v>
                </c:pt>
                <c:pt idx="7">
                  <c:v>183.56899999999999</c:v>
                </c:pt>
                <c:pt idx="8">
                  <c:v>130.34399999999999</c:v>
                </c:pt>
                <c:pt idx="9">
                  <c:v>204.273</c:v>
                </c:pt>
                <c:pt idx="10">
                  <c:v>94.292000000000002</c:v>
                </c:pt>
              </c:numCache>
            </c:numRef>
          </c:val>
        </c:ser>
        <c:ser>
          <c:idx val="2"/>
          <c:order val="2"/>
          <c:tx>
            <c:strRef>
              <c:f>'Section 10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country'!$C$49:$M$49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</c:ser>
        <c:ser>
          <c:idx val="3"/>
          <c:order val="3"/>
          <c:tx>
            <c:strRef>
              <c:f>'Section 10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country'!$C$50:$M$50</c:f>
              <c:numCache>
                <c:formatCode>#,##0</c:formatCode>
                <c:ptCount val="11"/>
                <c:pt idx="0">
                  <c:v>80.561999999999998</c:v>
                </c:pt>
                <c:pt idx="1">
                  <c:v>104.88500000000001</c:v>
                </c:pt>
                <c:pt idx="2">
                  <c:v>134.94200000000001</c:v>
                </c:pt>
                <c:pt idx="3">
                  <c:v>136.261</c:v>
                </c:pt>
                <c:pt idx="4">
                  <c:v>63.215000000000003</c:v>
                </c:pt>
                <c:pt idx="5">
                  <c:v>80.111000000000004</c:v>
                </c:pt>
                <c:pt idx="6">
                  <c:v>83.795000000000002</c:v>
                </c:pt>
                <c:pt idx="7">
                  <c:v>53.311999999999998</c:v>
                </c:pt>
                <c:pt idx="8">
                  <c:v>45.841000000000001</c:v>
                </c:pt>
                <c:pt idx="9">
                  <c:v>78.244</c:v>
                </c:pt>
                <c:pt idx="10">
                  <c:v>54.173999999999999</c:v>
                </c:pt>
              </c:numCache>
            </c:numRef>
          </c:val>
        </c:ser>
        <c:ser>
          <c:idx val="4"/>
          <c:order val="4"/>
          <c:tx>
            <c:strRef>
              <c:f>'Section 10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country'!$C$51:$M$51</c:f>
              <c:numCache>
                <c:formatCode>#,##0</c:formatCode>
                <c:ptCount val="11"/>
                <c:pt idx="0">
                  <c:v>22.687000000000001</c:v>
                </c:pt>
                <c:pt idx="1">
                  <c:v>47.752000000000002</c:v>
                </c:pt>
                <c:pt idx="2">
                  <c:v>23.611000000000001</c:v>
                </c:pt>
                <c:pt idx="3">
                  <c:v>29.257999999999999</c:v>
                </c:pt>
                <c:pt idx="4">
                  <c:v>28.265000000000001</c:v>
                </c:pt>
                <c:pt idx="5">
                  <c:v>19.815999999999999</c:v>
                </c:pt>
                <c:pt idx="6">
                  <c:v>10.875</c:v>
                </c:pt>
                <c:pt idx="7">
                  <c:v>24.6</c:v>
                </c:pt>
                <c:pt idx="8">
                  <c:v>13.582000000000001</c:v>
                </c:pt>
                <c:pt idx="9">
                  <c:v>22.170999999999999</c:v>
                </c:pt>
                <c:pt idx="10">
                  <c:v>15.65</c:v>
                </c:pt>
              </c:numCache>
            </c:numRef>
          </c:val>
        </c:ser>
        <c:ser>
          <c:idx val="5"/>
          <c:order val="5"/>
          <c:tx>
            <c:strRef>
              <c:f>'Section 10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country'!$C$52:$M$52</c:f>
              <c:numCache>
                <c:formatCode>#,##0</c:formatCode>
                <c:ptCount val="11"/>
                <c:pt idx="0">
                  <c:v>27.053000000000001</c:v>
                </c:pt>
                <c:pt idx="1">
                  <c:v>62.036000000000001</c:v>
                </c:pt>
                <c:pt idx="2">
                  <c:v>48.756999999999998</c:v>
                </c:pt>
                <c:pt idx="3">
                  <c:v>21.864000000000001</c:v>
                </c:pt>
                <c:pt idx="4">
                  <c:v>52.98</c:v>
                </c:pt>
                <c:pt idx="5">
                  <c:v>58.429000000000002</c:v>
                </c:pt>
                <c:pt idx="6">
                  <c:v>11.055</c:v>
                </c:pt>
                <c:pt idx="7">
                  <c:v>36.366</c:v>
                </c:pt>
                <c:pt idx="8">
                  <c:v>24.172000000000001</c:v>
                </c:pt>
                <c:pt idx="9">
                  <c:v>15.317</c:v>
                </c:pt>
                <c:pt idx="10">
                  <c:v>17.748999999999999</c:v>
                </c:pt>
              </c:numCache>
            </c:numRef>
          </c:val>
        </c:ser>
        <c:ser>
          <c:idx val="6"/>
          <c:order val="6"/>
          <c:tx>
            <c:strRef>
              <c:f>'Section 10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country'!$C$53:$M$53</c:f>
              <c:numCache>
                <c:formatCode>#,##0</c:formatCode>
                <c:ptCount val="11"/>
                <c:pt idx="0">
                  <c:v>160.82599999999999</c:v>
                </c:pt>
                <c:pt idx="1">
                  <c:v>139.34299999999999</c:v>
                </c:pt>
                <c:pt idx="2">
                  <c:v>172.786</c:v>
                </c:pt>
                <c:pt idx="3">
                  <c:v>93.953999999999994</c:v>
                </c:pt>
                <c:pt idx="4">
                  <c:v>86.736999999999995</c:v>
                </c:pt>
                <c:pt idx="5">
                  <c:v>116.59699999999999</c:v>
                </c:pt>
                <c:pt idx="6">
                  <c:v>134.774</c:v>
                </c:pt>
                <c:pt idx="7">
                  <c:v>63.48</c:v>
                </c:pt>
                <c:pt idx="8">
                  <c:v>41.133000000000003</c:v>
                </c:pt>
                <c:pt idx="9">
                  <c:v>63.802999999999997</c:v>
                </c:pt>
                <c:pt idx="10">
                  <c:v>58.523000000000003</c:v>
                </c:pt>
              </c:numCache>
            </c:numRef>
          </c:val>
        </c:ser>
        <c:ser>
          <c:idx val="7"/>
          <c:order val="7"/>
          <c:tx>
            <c:strRef>
              <c:f>'Section 10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country'!$C$54:$M$54</c:f>
              <c:numCache>
                <c:formatCode>#,##0</c:formatCode>
                <c:ptCount val="11"/>
                <c:pt idx="0">
                  <c:v>67.429000000000002</c:v>
                </c:pt>
                <c:pt idx="1">
                  <c:v>57.585000000000001</c:v>
                </c:pt>
                <c:pt idx="2">
                  <c:v>42.152000000000001</c:v>
                </c:pt>
                <c:pt idx="3">
                  <c:v>70.442999999999998</c:v>
                </c:pt>
                <c:pt idx="4">
                  <c:v>80.106999999999999</c:v>
                </c:pt>
                <c:pt idx="5">
                  <c:v>47.362000000000002</c:v>
                </c:pt>
                <c:pt idx="6">
                  <c:v>67.798000000000002</c:v>
                </c:pt>
                <c:pt idx="7">
                  <c:v>42.78</c:v>
                </c:pt>
                <c:pt idx="8">
                  <c:v>60.563000000000002</c:v>
                </c:pt>
                <c:pt idx="9">
                  <c:v>51.89</c:v>
                </c:pt>
                <c:pt idx="10">
                  <c:v>26.802</c:v>
                </c:pt>
              </c:numCache>
            </c:numRef>
          </c:val>
        </c:ser>
        <c:ser>
          <c:idx val="8"/>
          <c:order val="8"/>
          <c:tx>
            <c:strRef>
              <c:f>'Section 10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country'!$C$55:$M$55</c:f>
              <c:numCache>
                <c:formatCode>#,##0</c:formatCode>
                <c:ptCount val="11"/>
                <c:pt idx="0">
                  <c:v>287.02800000000002</c:v>
                </c:pt>
                <c:pt idx="1">
                  <c:v>374.25299999999999</c:v>
                </c:pt>
                <c:pt idx="2">
                  <c:v>370.53500000000003</c:v>
                </c:pt>
                <c:pt idx="3">
                  <c:v>488.64299999999997</c:v>
                </c:pt>
                <c:pt idx="4">
                  <c:v>543.79</c:v>
                </c:pt>
                <c:pt idx="5">
                  <c:v>491.47399999999999</c:v>
                </c:pt>
                <c:pt idx="6">
                  <c:v>259.54899999999998</c:v>
                </c:pt>
                <c:pt idx="7">
                  <c:v>197.40799999999999</c:v>
                </c:pt>
                <c:pt idx="8">
                  <c:v>181.24</c:v>
                </c:pt>
                <c:pt idx="9">
                  <c:v>251.57900000000001</c:v>
                </c:pt>
                <c:pt idx="10">
                  <c:v>262.19400000000002</c:v>
                </c:pt>
              </c:numCache>
            </c:numRef>
          </c:val>
        </c:ser>
        <c:ser>
          <c:idx val="9"/>
          <c:order val="9"/>
          <c:tx>
            <c:strRef>
              <c:f>'Section 10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country'!$C$56:$M$56</c:f>
              <c:numCache>
                <c:formatCode>#,##0</c:formatCode>
                <c:ptCount val="11"/>
                <c:pt idx="0">
                  <c:v>215.75200000000001</c:v>
                </c:pt>
                <c:pt idx="1">
                  <c:v>244.52500000000001</c:v>
                </c:pt>
                <c:pt idx="2">
                  <c:v>207.72200000000001</c:v>
                </c:pt>
                <c:pt idx="3">
                  <c:v>217.655</c:v>
                </c:pt>
                <c:pt idx="4">
                  <c:v>220.10900000000001</c:v>
                </c:pt>
                <c:pt idx="5">
                  <c:v>136.70099999999999</c:v>
                </c:pt>
                <c:pt idx="6">
                  <c:v>145.036</c:v>
                </c:pt>
                <c:pt idx="7">
                  <c:v>114.54</c:v>
                </c:pt>
                <c:pt idx="8">
                  <c:v>152.94</c:v>
                </c:pt>
                <c:pt idx="9">
                  <c:v>108.004</c:v>
                </c:pt>
                <c:pt idx="10">
                  <c:v>84.272000000000006</c:v>
                </c:pt>
              </c:numCache>
            </c:numRef>
          </c:val>
        </c:ser>
        <c:ser>
          <c:idx val="10"/>
          <c:order val="10"/>
          <c:tx>
            <c:strRef>
              <c:f>'Section 10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country'!$C$57:$M$57</c:f>
              <c:numCache>
                <c:formatCode>#,##0</c:formatCode>
                <c:ptCount val="11"/>
                <c:pt idx="0">
                  <c:v>268.62799999999999</c:v>
                </c:pt>
                <c:pt idx="1">
                  <c:v>198.71100000000001</c:v>
                </c:pt>
                <c:pt idx="2">
                  <c:v>222.637</c:v>
                </c:pt>
                <c:pt idx="3">
                  <c:v>318.28699999999998</c:v>
                </c:pt>
                <c:pt idx="4">
                  <c:v>226.78299999999999</c:v>
                </c:pt>
                <c:pt idx="5">
                  <c:v>196.238</c:v>
                </c:pt>
                <c:pt idx="6">
                  <c:v>146.887</c:v>
                </c:pt>
                <c:pt idx="7">
                  <c:v>122.51900000000001</c:v>
                </c:pt>
                <c:pt idx="8">
                  <c:v>104.664</c:v>
                </c:pt>
                <c:pt idx="9">
                  <c:v>92.727999999999994</c:v>
                </c:pt>
                <c:pt idx="10">
                  <c:v>105.907</c:v>
                </c:pt>
              </c:numCache>
            </c:numRef>
          </c:val>
        </c:ser>
        <c:ser>
          <c:idx val="11"/>
          <c:order val="11"/>
          <c:tx>
            <c:strRef>
              <c:f>'Section 10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country'!$C$58:$M$58</c:f>
              <c:numCache>
                <c:formatCode>#,##0</c:formatCode>
                <c:ptCount val="11"/>
                <c:pt idx="0">
                  <c:v>352.09399999999999</c:v>
                </c:pt>
                <c:pt idx="1">
                  <c:v>312.339</c:v>
                </c:pt>
                <c:pt idx="2">
                  <c:v>247.75899999999999</c:v>
                </c:pt>
                <c:pt idx="3">
                  <c:v>245.41300000000001</c:v>
                </c:pt>
                <c:pt idx="4">
                  <c:v>187.584</c:v>
                </c:pt>
                <c:pt idx="5">
                  <c:v>155.52799999999999</c:v>
                </c:pt>
                <c:pt idx="6">
                  <c:v>129.36000000000001</c:v>
                </c:pt>
                <c:pt idx="7">
                  <c:v>107.85599999999999</c:v>
                </c:pt>
                <c:pt idx="8">
                  <c:v>108.97</c:v>
                </c:pt>
                <c:pt idx="9">
                  <c:v>136.33500000000001</c:v>
                </c:pt>
                <c:pt idx="10">
                  <c:v>106.096</c:v>
                </c:pt>
              </c:numCache>
            </c:numRef>
          </c:val>
        </c:ser>
        <c:ser>
          <c:idx val="12"/>
          <c:order val="12"/>
          <c:tx>
            <c:strRef>
              <c:f>'Section 10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country'!$C$59:$M$59</c:f>
              <c:numCache>
                <c:formatCode>#,##0</c:formatCode>
                <c:ptCount val="11"/>
                <c:pt idx="0">
                  <c:v>467.99599999999998</c:v>
                </c:pt>
                <c:pt idx="1">
                  <c:v>420.09199999999998</c:v>
                </c:pt>
                <c:pt idx="2">
                  <c:v>370.84199999999998</c:v>
                </c:pt>
                <c:pt idx="3">
                  <c:v>286.964</c:v>
                </c:pt>
                <c:pt idx="4">
                  <c:v>446.91</c:v>
                </c:pt>
                <c:pt idx="5">
                  <c:v>221.53100000000001</c:v>
                </c:pt>
                <c:pt idx="6">
                  <c:v>162.16200000000001</c:v>
                </c:pt>
                <c:pt idx="7">
                  <c:v>200.52600000000001</c:v>
                </c:pt>
                <c:pt idx="8">
                  <c:v>140.03</c:v>
                </c:pt>
                <c:pt idx="9">
                  <c:v>150.005</c:v>
                </c:pt>
                <c:pt idx="10">
                  <c:v>467.99599999999998</c:v>
                </c:pt>
              </c:numCache>
            </c:numRef>
          </c:val>
        </c:ser>
        <c:ser>
          <c:idx val="13"/>
          <c:order val="13"/>
          <c:tx>
            <c:strRef>
              <c:f>'Section 10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data country'!$C$60:$M$60</c:f>
              <c:numCache>
                <c:formatCode>#,##0</c:formatCode>
                <c:ptCount val="11"/>
                <c:pt idx="0">
                  <c:v>273.24700000000001</c:v>
                </c:pt>
                <c:pt idx="1">
                  <c:v>322.80900000000003</c:v>
                </c:pt>
                <c:pt idx="2">
                  <c:v>297.791</c:v>
                </c:pt>
                <c:pt idx="3">
                  <c:v>329.38299999999998</c:v>
                </c:pt>
                <c:pt idx="4">
                  <c:v>219.03200000000001</c:v>
                </c:pt>
                <c:pt idx="5">
                  <c:v>201.93100000000001</c:v>
                </c:pt>
                <c:pt idx="6">
                  <c:v>170.36799999999999</c:v>
                </c:pt>
                <c:pt idx="7">
                  <c:v>171.24199999999999</c:v>
                </c:pt>
                <c:pt idx="8">
                  <c:v>142.273</c:v>
                </c:pt>
                <c:pt idx="9">
                  <c:v>158.34700000000001</c:v>
                </c:pt>
                <c:pt idx="10">
                  <c:v>158.708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1744640"/>
        <c:axId val="191746816"/>
      </c:barChart>
      <c:catAx>
        <c:axId val="19174464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746816"/>
        <c:crosses val="autoZero"/>
        <c:auto val="1"/>
        <c:lblAlgn val="ctr"/>
        <c:lblOffset val="100"/>
        <c:noMultiLvlLbl val="0"/>
      </c:catAx>
      <c:valAx>
        <c:axId val="191746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744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923922676650659"/>
          <c:y val="5.9242421396672691E-2"/>
          <c:w val="0.33256011849407996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50-year hardwood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71.779000000000011</c:v>
                </c:pt>
                <c:pt idx="1">
                  <c:v>46.368000000000002</c:v>
                </c:pt>
                <c:pt idx="2">
                  <c:v>78.750999999999991</c:v>
                </c:pt>
                <c:pt idx="3">
                  <c:v>74.778000000000006</c:v>
                </c:pt>
                <c:pt idx="4">
                  <c:v>89.126000000000005</c:v>
                </c:pt>
                <c:pt idx="5">
                  <c:v>139.09399999999999</c:v>
                </c:pt>
                <c:pt idx="6">
                  <c:v>193.01599999999999</c:v>
                </c:pt>
                <c:pt idx="7">
                  <c:v>127.23299999999998</c:v>
                </c:pt>
                <c:pt idx="8">
                  <c:v>133.34199999999998</c:v>
                </c:pt>
                <c:pt idx="9">
                  <c:v>161.45600000000002</c:v>
                </c:pt>
                <c:pt idx="10">
                  <c:v>156.49700000000001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2611.1080000000002</c:v>
                </c:pt>
                <c:pt idx="1">
                  <c:v>2186.9929999999999</c:v>
                </c:pt>
                <c:pt idx="2">
                  <c:v>1201.29</c:v>
                </c:pt>
                <c:pt idx="3">
                  <c:v>1098.886</c:v>
                </c:pt>
                <c:pt idx="4">
                  <c:v>1000.0890000000001</c:v>
                </c:pt>
                <c:pt idx="5">
                  <c:v>878.08500000000004</c:v>
                </c:pt>
                <c:pt idx="6">
                  <c:v>1167.0630000000001</c:v>
                </c:pt>
                <c:pt idx="7">
                  <c:v>1167.4290000000001</c:v>
                </c:pt>
                <c:pt idx="8">
                  <c:v>1254.0250000000001</c:v>
                </c:pt>
                <c:pt idx="9">
                  <c:v>1199.1679999999999</c:v>
                </c:pt>
                <c:pt idx="10">
                  <c:v>1288.5909999999999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11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data'!$R$50:$R$60</c:f>
              <c:numCache>
                <c:formatCode>#,##0</c:formatCode>
                <c:ptCount val="11"/>
                <c:pt idx="0">
                  <c:v>2682.8870000000002</c:v>
                </c:pt>
                <c:pt idx="1">
                  <c:v>2233.3609999999999</c:v>
                </c:pt>
                <c:pt idx="2">
                  <c:v>1280.0409999999999</c:v>
                </c:pt>
                <c:pt idx="3">
                  <c:v>1173.664</c:v>
                </c:pt>
                <c:pt idx="4">
                  <c:v>1089.2150000000001</c:v>
                </c:pt>
                <c:pt idx="5">
                  <c:v>1017.1790000000001</c:v>
                </c:pt>
                <c:pt idx="6">
                  <c:v>1360.0790000000002</c:v>
                </c:pt>
                <c:pt idx="7">
                  <c:v>1294.662</c:v>
                </c:pt>
                <c:pt idx="8">
                  <c:v>1387.3670000000002</c:v>
                </c:pt>
                <c:pt idx="9">
                  <c:v>1360.6239999999998</c:v>
                </c:pt>
                <c:pt idx="10">
                  <c:v>1445.088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25248"/>
        <c:axId val="204760192"/>
      </c:lineChart>
      <c:catAx>
        <c:axId val="20472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4760192"/>
        <c:crosses val="autoZero"/>
        <c:auto val="1"/>
        <c:lblAlgn val="ctr"/>
        <c:lblOffset val="100"/>
        <c:noMultiLvlLbl val="0"/>
      </c:catAx>
      <c:valAx>
        <c:axId val="2047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472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71.779000000000011</c:v>
                </c:pt>
                <c:pt idx="1">
                  <c:v>46.368000000000002</c:v>
                </c:pt>
                <c:pt idx="2">
                  <c:v>78.750999999999991</c:v>
                </c:pt>
                <c:pt idx="3">
                  <c:v>74.778000000000006</c:v>
                </c:pt>
                <c:pt idx="4">
                  <c:v>89.126000000000005</c:v>
                </c:pt>
                <c:pt idx="5">
                  <c:v>139.09399999999999</c:v>
                </c:pt>
                <c:pt idx="6">
                  <c:v>193.01599999999999</c:v>
                </c:pt>
                <c:pt idx="7">
                  <c:v>127.23299999999998</c:v>
                </c:pt>
                <c:pt idx="8">
                  <c:v>133.34199999999998</c:v>
                </c:pt>
                <c:pt idx="9">
                  <c:v>161.45600000000002</c:v>
                </c:pt>
                <c:pt idx="10">
                  <c:v>156.49700000000001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2611.1080000000002</c:v>
                </c:pt>
                <c:pt idx="1">
                  <c:v>2186.9929999999999</c:v>
                </c:pt>
                <c:pt idx="2">
                  <c:v>1201.29</c:v>
                </c:pt>
                <c:pt idx="3">
                  <c:v>1098.886</c:v>
                </c:pt>
                <c:pt idx="4">
                  <c:v>1000.0890000000001</c:v>
                </c:pt>
                <c:pt idx="5">
                  <c:v>878.08500000000004</c:v>
                </c:pt>
                <c:pt idx="6">
                  <c:v>1167.0630000000001</c:v>
                </c:pt>
                <c:pt idx="7">
                  <c:v>1167.4290000000001</c:v>
                </c:pt>
                <c:pt idx="8">
                  <c:v>1254.0250000000001</c:v>
                </c:pt>
                <c:pt idx="9">
                  <c:v>1199.1679999999999</c:v>
                </c:pt>
                <c:pt idx="10">
                  <c:v>1288.5909999999999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11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data'!$R$50:$R$60</c:f>
              <c:numCache>
                <c:formatCode>#,##0</c:formatCode>
                <c:ptCount val="11"/>
                <c:pt idx="0">
                  <c:v>2682.8870000000002</c:v>
                </c:pt>
                <c:pt idx="1">
                  <c:v>2233.3609999999999</c:v>
                </c:pt>
                <c:pt idx="2">
                  <c:v>1280.0409999999999</c:v>
                </c:pt>
                <c:pt idx="3">
                  <c:v>1173.664</c:v>
                </c:pt>
                <c:pt idx="4">
                  <c:v>1089.2150000000001</c:v>
                </c:pt>
                <c:pt idx="5">
                  <c:v>1017.1790000000001</c:v>
                </c:pt>
                <c:pt idx="6">
                  <c:v>1360.0790000000002</c:v>
                </c:pt>
                <c:pt idx="7">
                  <c:v>1294.662</c:v>
                </c:pt>
                <c:pt idx="8">
                  <c:v>1387.3670000000002</c:v>
                </c:pt>
                <c:pt idx="9">
                  <c:v>1360.6239999999998</c:v>
                </c:pt>
                <c:pt idx="10">
                  <c:v>1445.088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807552"/>
        <c:axId val="204809728"/>
      </c:lineChart>
      <c:catAx>
        <c:axId val="20480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4809728"/>
        <c:crosses val="autoZero"/>
        <c:auto val="1"/>
        <c:lblAlgn val="ctr"/>
        <c:lblOffset val="100"/>
        <c:noMultiLvlLbl val="0"/>
      </c:catAx>
      <c:valAx>
        <c:axId val="20480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480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hardwood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71.779000000000011</c:v>
                </c:pt>
                <c:pt idx="1">
                  <c:v>46.368000000000002</c:v>
                </c:pt>
                <c:pt idx="2">
                  <c:v>78.750999999999991</c:v>
                </c:pt>
                <c:pt idx="3">
                  <c:v>74.778000000000006</c:v>
                </c:pt>
                <c:pt idx="4">
                  <c:v>89.126000000000005</c:v>
                </c:pt>
                <c:pt idx="5">
                  <c:v>139.09399999999999</c:v>
                </c:pt>
                <c:pt idx="6">
                  <c:v>193.01599999999999</c:v>
                </c:pt>
                <c:pt idx="7">
                  <c:v>127.23299999999998</c:v>
                </c:pt>
                <c:pt idx="8">
                  <c:v>133.34199999999998</c:v>
                </c:pt>
                <c:pt idx="9">
                  <c:v>161.45600000000002</c:v>
                </c:pt>
                <c:pt idx="10">
                  <c:v>156.49700000000001</c:v>
                </c:pt>
              </c:numCache>
            </c:numRef>
          </c:val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data'!$L$50:$L$60</c:f>
                <c:numCache>
                  <c:formatCode>General</c:formatCode>
                  <c:ptCount val="11"/>
                  <c:pt idx="0">
                    <c:v>188.31596395811692</c:v>
                  </c:pt>
                  <c:pt idx="1">
                    <c:v>134.83257734902213</c:v>
                  </c:pt>
                  <c:pt idx="2">
                    <c:v>71.247531642647971</c:v>
                  </c:pt>
                  <c:pt idx="3">
                    <c:v>82.366271303483614</c:v>
                  </c:pt>
                  <c:pt idx="4">
                    <c:v>69.918485215022031</c:v>
                  </c:pt>
                  <c:pt idx="5">
                    <c:v>48.656661879006627</c:v>
                  </c:pt>
                  <c:pt idx="6">
                    <c:v>63.989899437120677</c:v>
                  </c:pt>
                  <c:pt idx="7">
                    <c:v>78.8284563931836</c:v>
                  </c:pt>
                  <c:pt idx="8">
                    <c:v>67.353952814996077</c:v>
                  </c:pt>
                  <c:pt idx="9">
                    <c:v>60.69469509667919</c:v>
                  </c:pt>
                  <c:pt idx="10">
                    <c:v>67.287060934745952</c:v>
                  </c:pt>
                </c:numCache>
              </c:numRef>
            </c:plus>
            <c:minus>
              <c:numRef>
                <c:f>'Section 11 chart data'!$L$50:$L$60</c:f>
                <c:numCache>
                  <c:formatCode>General</c:formatCode>
                  <c:ptCount val="11"/>
                  <c:pt idx="0">
                    <c:v>188.31596395811692</c:v>
                  </c:pt>
                  <c:pt idx="1">
                    <c:v>134.83257734902213</c:v>
                  </c:pt>
                  <c:pt idx="2">
                    <c:v>71.247531642647971</c:v>
                  </c:pt>
                  <c:pt idx="3">
                    <c:v>82.366271303483614</c:v>
                  </c:pt>
                  <c:pt idx="4">
                    <c:v>69.918485215022031</c:v>
                  </c:pt>
                  <c:pt idx="5">
                    <c:v>48.656661879006627</c:v>
                  </c:pt>
                  <c:pt idx="6">
                    <c:v>63.989899437120677</c:v>
                  </c:pt>
                  <c:pt idx="7">
                    <c:v>78.8284563931836</c:v>
                  </c:pt>
                  <c:pt idx="8">
                    <c:v>67.353952814996077</c:v>
                  </c:pt>
                  <c:pt idx="9">
                    <c:v>60.69469509667919</c:v>
                  </c:pt>
                  <c:pt idx="10">
                    <c:v>67.287060934745952</c:v>
                  </c:pt>
                </c:numCache>
              </c:numRef>
            </c:minus>
          </c:errBars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2611.1080000000002</c:v>
                </c:pt>
                <c:pt idx="1">
                  <c:v>2186.9929999999999</c:v>
                </c:pt>
                <c:pt idx="2">
                  <c:v>1201.29</c:v>
                </c:pt>
                <c:pt idx="3">
                  <c:v>1098.886</c:v>
                </c:pt>
                <c:pt idx="4">
                  <c:v>1000.0890000000001</c:v>
                </c:pt>
                <c:pt idx="5">
                  <c:v>878.08500000000004</c:v>
                </c:pt>
                <c:pt idx="6">
                  <c:v>1167.0630000000001</c:v>
                </c:pt>
                <c:pt idx="7">
                  <c:v>1167.4290000000001</c:v>
                </c:pt>
                <c:pt idx="8">
                  <c:v>1254.0250000000001</c:v>
                </c:pt>
                <c:pt idx="9">
                  <c:v>1199.1679999999999</c:v>
                </c:pt>
                <c:pt idx="10">
                  <c:v>1288.5909999999999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4884992"/>
        <c:axId val="204891264"/>
      </c:barChart>
      <c:catAx>
        <c:axId val="20488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4891264"/>
        <c:crosses val="autoZero"/>
        <c:auto val="1"/>
        <c:lblAlgn val="ctr"/>
        <c:lblOffset val="100"/>
        <c:noMultiLvlLbl val="0"/>
      </c:catAx>
      <c:valAx>
        <c:axId val="20489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488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71.779000000000011</c:v>
                </c:pt>
                <c:pt idx="1">
                  <c:v>46.368000000000002</c:v>
                </c:pt>
                <c:pt idx="2">
                  <c:v>78.750999999999991</c:v>
                </c:pt>
                <c:pt idx="3">
                  <c:v>74.778000000000006</c:v>
                </c:pt>
                <c:pt idx="4">
                  <c:v>89.126000000000005</c:v>
                </c:pt>
                <c:pt idx="5">
                  <c:v>139.09399999999999</c:v>
                </c:pt>
                <c:pt idx="6">
                  <c:v>193.01599999999999</c:v>
                </c:pt>
                <c:pt idx="7">
                  <c:v>127.23299999999998</c:v>
                </c:pt>
                <c:pt idx="8">
                  <c:v>133.34199999999998</c:v>
                </c:pt>
                <c:pt idx="9">
                  <c:v>161.45600000000002</c:v>
                </c:pt>
                <c:pt idx="10">
                  <c:v>156.49700000000001</c:v>
                </c:pt>
              </c:numCache>
            </c:numRef>
          </c:val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data'!$L$50:$L$60</c:f>
                <c:numCache>
                  <c:formatCode>General</c:formatCode>
                  <c:ptCount val="11"/>
                  <c:pt idx="0">
                    <c:v>188.31596395811692</c:v>
                  </c:pt>
                  <c:pt idx="1">
                    <c:v>134.83257734902213</c:v>
                  </c:pt>
                  <c:pt idx="2">
                    <c:v>71.247531642647971</c:v>
                  </c:pt>
                  <c:pt idx="3">
                    <c:v>82.366271303483614</c:v>
                  </c:pt>
                  <c:pt idx="4">
                    <c:v>69.918485215022031</c:v>
                  </c:pt>
                  <c:pt idx="5">
                    <c:v>48.656661879006627</c:v>
                  </c:pt>
                  <c:pt idx="6">
                    <c:v>63.989899437120677</c:v>
                  </c:pt>
                  <c:pt idx="7">
                    <c:v>78.8284563931836</c:v>
                  </c:pt>
                  <c:pt idx="8">
                    <c:v>67.353952814996077</c:v>
                  </c:pt>
                  <c:pt idx="9">
                    <c:v>60.69469509667919</c:v>
                  </c:pt>
                  <c:pt idx="10">
                    <c:v>67.287060934745952</c:v>
                  </c:pt>
                </c:numCache>
              </c:numRef>
            </c:plus>
            <c:minus>
              <c:numRef>
                <c:f>'Section 11 chart data'!$L$50:$L$60</c:f>
                <c:numCache>
                  <c:formatCode>General</c:formatCode>
                  <c:ptCount val="11"/>
                  <c:pt idx="0">
                    <c:v>188.31596395811692</c:v>
                  </c:pt>
                  <c:pt idx="1">
                    <c:v>134.83257734902213</c:v>
                  </c:pt>
                  <c:pt idx="2">
                    <c:v>71.247531642647971</c:v>
                  </c:pt>
                  <c:pt idx="3">
                    <c:v>82.366271303483614</c:v>
                  </c:pt>
                  <c:pt idx="4">
                    <c:v>69.918485215022031</c:v>
                  </c:pt>
                  <c:pt idx="5">
                    <c:v>48.656661879006627</c:v>
                  </c:pt>
                  <c:pt idx="6">
                    <c:v>63.989899437120677</c:v>
                  </c:pt>
                  <c:pt idx="7">
                    <c:v>78.8284563931836</c:v>
                  </c:pt>
                  <c:pt idx="8">
                    <c:v>67.353952814996077</c:v>
                  </c:pt>
                  <c:pt idx="9">
                    <c:v>60.69469509667919</c:v>
                  </c:pt>
                  <c:pt idx="10">
                    <c:v>67.287060934745952</c:v>
                  </c:pt>
                </c:numCache>
              </c:numRef>
            </c:minus>
          </c:errBars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2611.1080000000002</c:v>
                </c:pt>
                <c:pt idx="1">
                  <c:v>2186.9929999999999</c:v>
                </c:pt>
                <c:pt idx="2">
                  <c:v>1201.29</c:v>
                </c:pt>
                <c:pt idx="3">
                  <c:v>1098.886</c:v>
                </c:pt>
                <c:pt idx="4">
                  <c:v>1000.0890000000001</c:v>
                </c:pt>
                <c:pt idx="5">
                  <c:v>878.08500000000004</c:v>
                </c:pt>
                <c:pt idx="6">
                  <c:v>1167.0630000000001</c:v>
                </c:pt>
                <c:pt idx="7">
                  <c:v>1167.4290000000001</c:v>
                </c:pt>
                <c:pt idx="8">
                  <c:v>1254.0250000000001</c:v>
                </c:pt>
                <c:pt idx="9">
                  <c:v>1199.1679999999999</c:v>
                </c:pt>
                <c:pt idx="10">
                  <c:v>1288.5909999999999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4934144"/>
        <c:axId val="204940416"/>
      </c:barChart>
      <c:catAx>
        <c:axId val="20493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4940416"/>
        <c:crosses val="autoZero"/>
        <c:auto val="1"/>
        <c:lblAlgn val="ctr"/>
        <c:lblOffset val="100"/>
        <c:noMultiLvlLbl val="0"/>
      </c:catAx>
      <c:valAx>
        <c:axId val="204940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493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standing volume in broadleaves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data'!$D$20:$D$30</c:f>
              <c:numCache>
                <c:formatCode>#,##0</c:formatCode>
                <c:ptCount val="11"/>
                <c:pt idx="0">
                  <c:v>8617.6839999999993</c:v>
                </c:pt>
                <c:pt idx="1">
                  <c:v>9281.9560000000001</c:v>
                </c:pt>
                <c:pt idx="2">
                  <c:v>9826.41</c:v>
                </c:pt>
                <c:pt idx="3">
                  <c:v>10432.989</c:v>
                </c:pt>
                <c:pt idx="4">
                  <c:v>10912.287</c:v>
                </c:pt>
                <c:pt idx="5">
                  <c:v>11321.800999999999</c:v>
                </c:pt>
                <c:pt idx="6">
                  <c:v>11441.243</c:v>
                </c:pt>
                <c:pt idx="7">
                  <c:v>11553.438</c:v>
                </c:pt>
                <c:pt idx="8">
                  <c:v>11802.027</c:v>
                </c:pt>
                <c:pt idx="9">
                  <c:v>12049.249</c:v>
                </c:pt>
                <c:pt idx="10">
                  <c:v>12188.589</c:v>
                </c:pt>
              </c:numCache>
            </c:numRef>
          </c:val>
        </c:ser>
        <c:ser>
          <c:idx val="1"/>
          <c:order val="1"/>
          <c:tx>
            <c:strRef>
              <c:f>'Section 11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data'!$L$20:$L$30</c:f>
                <c:numCache>
                  <c:formatCode>General</c:formatCode>
                  <c:ptCount val="11"/>
                  <c:pt idx="0">
                    <c:v>2628.8730353381525</c:v>
                  </c:pt>
                  <c:pt idx="1">
                    <c:v>2635.9470597658137</c:v>
                  </c:pt>
                  <c:pt idx="2">
                    <c:v>2750.4050799144738</c:v>
                  </c:pt>
                  <c:pt idx="3">
                    <c:v>2851.6465903082008</c:v>
                  </c:pt>
                  <c:pt idx="4">
                    <c:v>2962.4259975735649</c:v>
                  </c:pt>
                  <c:pt idx="5">
                    <c:v>3070.1834343621349</c:v>
                  </c:pt>
                  <c:pt idx="6">
                    <c:v>3173.5628436982511</c:v>
                  </c:pt>
                  <c:pt idx="7">
                    <c:v>3263.4155154630071</c:v>
                  </c:pt>
                  <c:pt idx="8">
                    <c:v>3364.9851715915988</c:v>
                  </c:pt>
                  <c:pt idx="9">
                    <c:v>3483.7155786037492</c:v>
                  </c:pt>
                  <c:pt idx="10">
                    <c:v>3610.6279938584844</c:v>
                  </c:pt>
                </c:numCache>
              </c:numRef>
            </c:plus>
            <c:minus>
              <c:numRef>
                <c:f>'Section 11 chart data'!$L$20:$L$30</c:f>
                <c:numCache>
                  <c:formatCode>General</c:formatCode>
                  <c:ptCount val="11"/>
                  <c:pt idx="0">
                    <c:v>2628.8730353381525</c:v>
                  </c:pt>
                  <c:pt idx="1">
                    <c:v>2635.9470597658137</c:v>
                  </c:pt>
                  <c:pt idx="2">
                    <c:v>2750.4050799144738</c:v>
                  </c:pt>
                  <c:pt idx="3">
                    <c:v>2851.6465903082008</c:v>
                  </c:pt>
                  <c:pt idx="4">
                    <c:v>2962.4259975735649</c:v>
                  </c:pt>
                  <c:pt idx="5">
                    <c:v>3070.1834343621349</c:v>
                  </c:pt>
                  <c:pt idx="6">
                    <c:v>3173.5628436982511</c:v>
                  </c:pt>
                  <c:pt idx="7">
                    <c:v>3263.4155154630071</c:v>
                  </c:pt>
                  <c:pt idx="8">
                    <c:v>3364.9851715915988</c:v>
                  </c:pt>
                  <c:pt idx="9">
                    <c:v>3483.7155786037492</c:v>
                  </c:pt>
                  <c:pt idx="10">
                    <c:v>3610.6279938584844</c:v>
                  </c:pt>
                </c:numCache>
              </c:numRef>
            </c:minus>
          </c:errBars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data'!$J$20:$J$30</c:f>
              <c:numCache>
                <c:formatCode>#,##0</c:formatCode>
                <c:ptCount val="11"/>
                <c:pt idx="0">
                  <c:v>171247.32399999999</c:v>
                </c:pt>
                <c:pt idx="1">
                  <c:v>180048.25200000001</c:v>
                </c:pt>
                <c:pt idx="2">
                  <c:v>193999.96599999999</c:v>
                </c:pt>
                <c:pt idx="3">
                  <c:v>211446.682</c:v>
                </c:pt>
                <c:pt idx="4">
                  <c:v>228329.76500000001</c:v>
                </c:pt>
                <c:pt idx="5">
                  <c:v>245430.26</c:v>
                </c:pt>
                <c:pt idx="6">
                  <c:v>260522.95800000001</c:v>
                </c:pt>
                <c:pt idx="7">
                  <c:v>273910.364</c:v>
                </c:pt>
                <c:pt idx="8">
                  <c:v>286054.41700000002</c:v>
                </c:pt>
                <c:pt idx="9">
                  <c:v>295930.364</c:v>
                </c:pt>
                <c:pt idx="10">
                  <c:v>304599.43699999998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5415168"/>
        <c:axId val="205417088"/>
      </c:barChart>
      <c:catAx>
        <c:axId val="20541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5417088"/>
        <c:crosses val="autoZero"/>
        <c:auto val="1"/>
        <c:lblAlgn val="ctr"/>
        <c:lblOffset val="100"/>
        <c:noMultiLvlLbl val="0"/>
      </c:catAx>
      <c:valAx>
        <c:axId val="20541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541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data'!$D$20:$D$30</c:f>
              <c:numCache>
                <c:formatCode>#,##0</c:formatCode>
                <c:ptCount val="11"/>
                <c:pt idx="0">
                  <c:v>8617.6839999999993</c:v>
                </c:pt>
                <c:pt idx="1">
                  <c:v>9281.9560000000001</c:v>
                </c:pt>
                <c:pt idx="2">
                  <c:v>9826.41</c:v>
                </c:pt>
                <c:pt idx="3">
                  <c:v>10432.989</c:v>
                </c:pt>
                <c:pt idx="4">
                  <c:v>10912.287</c:v>
                </c:pt>
                <c:pt idx="5">
                  <c:v>11321.800999999999</c:v>
                </c:pt>
                <c:pt idx="6">
                  <c:v>11441.243</c:v>
                </c:pt>
                <c:pt idx="7">
                  <c:v>11553.438</c:v>
                </c:pt>
                <c:pt idx="8">
                  <c:v>11802.027</c:v>
                </c:pt>
                <c:pt idx="9">
                  <c:v>12049.249</c:v>
                </c:pt>
                <c:pt idx="10">
                  <c:v>12188.589</c:v>
                </c:pt>
              </c:numCache>
            </c:numRef>
          </c:val>
        </c:ser>
        <c:ser>
          <c:idx val="1"/>
          <c:order val="1"/>
          <c:tx>
            <c:strRef>
              <c:f>'Section 11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data'!$L$20:$L$30</c:f>
                <c:numCache>
                  <c:formatCode>General</c:formatCode>
                  <c:ptCount val="11"/>
                  <c:pt idx="0">
                    <c:v>2628.8730353381525</c:v>
                  </c:pt>
                  <c:pt idx="1">
                    <c:v>2635.9470597658137</c:v>
                  </c:pt>
                  <c:pt idx="2">
                    <c:v>2750.4050799144738</c:v>
                  </c:pt>
                  <c:pt idx="3">
                    <c:v>2851.6465903082008</c:v>
                  </c:pt>
                  <c:pt idx="4">
                    <c:v>2962.4259975735649</c:v>
                  </c:pt>
                  <c:pt idx="5">
                    <c:v>3070.1834343621349</c:v>
                  </c:pt>
                  <c:pt idx="6">
                    <c:v>3173.5628436982511</c:v>
                  </c:pt>
                  <c:pt idx="7">
                    <c:v>3263.4155154630071</c:v>
                  </c:pt>
                  <c:pt idx="8">
                    <c:v>3364.9851715915988</c:v>
                  </c:pt>
                  <c:pt idx="9">
                    <c:v>3483.7155786037492</c:v>
                  </c:pt>
                  <c:pt idx="10">
                    <c:v>3610.6279938584844</c:v>
                  </c:pt>
                </c:numCache>
              </c:numRef>
            </c:plus>
            <c:minus>
              <c:numRef>
                <c:f>'Section 11 chart data'!$L$20:$L$30</c:f>
                <c:numCache>
                  <c:formatCode>General</c:formatCode>
                  <c:ptCount val="11"/>
                  <c:pt idx="0">
                    <c:v>2628.8730353381525</c:v>
                  </c:pt>
                  <c:pt idx="1">
                    <c:v>2635.9470597658137</c:v>
                  </c:pt>
                  <c:pt idx="2">
                    <c:v>2750.4050799144738</c:v>
                  </c:pt>
                  <c:pt idx="3">
                    <c:v>2851.6465903082008</c:v>
                  </c:pt>
                  <c:pt idx="4">
                    <c:v>2962.4259975735649</c:v>
                  </c:pt>
                  <c:pt idx="5">
                    <c:v>3070.1834343621349</c:v>
                  </c:pt>
                  <c:pt idx="6">
                    <c:v>3173.5628436982511</c:v>
                  </c:pt>
                  <c:pt idx="7">
                    <c:v>3263.4155154630071</c:v>
                  </c:pt>
                  <c:pt idx="8">
                    <c:v>3364.9851715915988</c:v>
                  </c:pt>
                  <c:pt idx="9">
                    <c:v>3483.7155786037492</c:v>
                  </c:pt>
                  <c:pt idx="10">
                    <c:v>3610.6279938584844</c:v>
                  </c:pt>
                </c:numCache>
              </c:numRef>
            </c:minus>
          </c:errBars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data'!$J$20:$J$30</c:f>
              <c:numCache>
                <c:formatCode>#,##0</c:formatCode>
                <c:ptCount val="11"/>
                <c:pt idx="0">
                  <c:v>171247.32399999999</c:v>
                </c:pt>
                <c:pt idx="1">
                  <c:v>180048.25200000001</c:v>
                </c:pt>
                <c:pt idx="2">
                  <c:v>193999.96599999999</c:v>
                </c:pt>
                <c:pt idx="3">
                  <c:v>211446.682</c:v>
                </c:pt>
                <c:pt idx="4">
                  <c:v>228329.76500000001</c:v>
                </c:pt>
                <c:pt idx="5">
                  <c:v>245430.26</c:v>
                </c:pt>
                <c:pt idx="6">
                  <c:v>260522.95800000001</c:v>
                </c:pt>
                <c:pt idx="7">
                  <c:v>273910.364</c:v>
                </c:pt>
                <c:pt idx="8">
                  <c:v>286054.41700000002</c:v>
                </c:pt>
                <c:pt idx="9">
                  <c:v>295930.364</c:v>
                </c:pt>
                <c:pt idx="10">
                  <c:v>304599.43699999998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1480576"/>
        <c:axId val="191482496"/>
      </c:barChart>
      <c:catAx>
        <c:axId val="1914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1482496"/>
        <c:crosses val="autoZero"/>
        <c:auto val="1"/>
        <c:lblAlgn val="ctr"/>
        <c:lblOffset val="100"/>
        <c:noMultiLvlLbl val="0"/>
      </c:catAx>
      <c:valAx>
        <c:axId val="19148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14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net increment in broadleaves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data'!$D$35:$D$45</c:f>
              <c:numCache>
                <c:formatCode>#,##0</c:formatCode>
                <c:ptCount val="11"/>
                <c:pt idx="0">
                  <c:v>1409.8779999999999</c:v>
                </c:pt>
                <c:pt idx="1">
                  <c:v>1441.117</c:v>
                </c:pt>
                <c:pt idx="2">
                  <c:v>1352.702</c:v>
                </c:pt>
                <c:pt idx="3">
                  <c:v>1328.7719999999999</c:v>
                </c:pt>
                <c:pt idx="4">
                  <c:v>1309.3209999999999</c:v>
                </c:pt>
                <c:pt idx="5">
                  <c:v>1320.921</c:v>
                </c:pt>
                <c:pt idx="6">
                  <c:v>1335.1179999999999</c:v>
                </c:pt>
                <c:pt idx="7">
                  <c:v>1359.3810000000001</c:v>
                </c:pt>
                <c:pt idx="8">
                  <c:v>1381.636</c:v>
                </c:pt>
                <c:pt idx="9">
                  <c:v>1415.7239999999999</c:v>
                </c:pt>
                <c:pt idx="10">
                  <c:v>1430.192</c:v>
                </c:pt>
              </c:numCache>
            </c:numRef>
          </c:val>
        </c:ser>
        <c:ser>
          <c:idx val="1"/>
          <c:order val="1"/>
          <c:tx>
            <c:strRef>
              <c:f>'Section 11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data'!$L$35:$L$45</c:f>
                <c:numCache>
                  <c:formatCode>General</c:formatCode>
                  <c:ptCount val="11"/>
                  <c:pt idx="0">
                    <c:v>60.044005957890775</c:v>
                  </c:pt>
                  <c:pt idx="1">
                    <c:v>49.775965457995405</c:v>
                  </c:pt>
                  <c:pt idx="2">
                    <c:v>50.485446343506595</c:v>
                  </c:pt>
                  <c:pt idx="3">
                    <c:v>50.317222945320594</c:v>
                  </c:pt>
                  <c:pt idx="4">
                    <c:v>50.238770030162613</c:v>
                  </c:pt>
                  <c:pt idx="5">
                    <c:v>49.887409040535083</c:v>
                  </c:pt>
                  <c:pt idx="6">
                    <c:v>48.514635701409901</c:v>
                  </c:pt>
                  <c:pt idx="7">
                    <c:v>46.16911980043664</c:v>
                  </c:pt>
                  <c:pt idx="8">
                    <c:v>44.174968130795989</c:v>
                  </c:pt>
                  <c:pt idx="9">
                    <c:v>40.336180243785272</c:v>
                  </c:pt>
                  <c:pt idx="10">
                    <c:v>37.304806657937981</c:v>
                  </c:pt>
                </c:numCache>
              </c:numRef>
            </c:plus>
            <c:minus>
              <c:numRef>
                <c:f>'Section 11 chart data'!$L$35:$L$45</c:f>
                <c:numCache>
                  <c:formatCode>General</c:formatCode>
                  <c:ptCount val="11"/>
                  <c:pt idx="0">
                    <c:v>60.044005957890775</c:v>
                  </c:pt>
                  <c:pt idx="1">
                    <c:v>49.775965457995405</c:v>
                  </c:pt>
                  <c:pt idx="2">
                    <c:v>50.485446343506595</c:v>
                  </c:pt>
                  <c:pt idx="3">
                    <c:v>50.317222945320594</c:v>
                  </c:pt>
                  <c:pt idx="4">
                    <c:v>50.238770030162613</c:v>
                  </c:pt>
                  <c:pt idx="5">
                    <c:v>49.887409040535083</c:v>
                  </c:pt>
                  <c:pt idx="6">
                    <c:v>48.514635701409901</c:v>
                  </c:pt>
                  <c:pt idx="7">
                    <c:v>46.16911980043664</c:v>
                  </c:pt>
                  <c:pt idx="8">
                    <c:v>44.174968130795989</c:v>
                  </c:pt>
                  <c:pt idx="9">
                    <c:v>40.336180243785272</c:v>
                  </c:pt>
                  <c:pt idx="10">
                    <c:v>37.304806657937981</c:v>
                  </c:pt>
                </c:numCache>
              </c:numRef>
            </c:minus>
          </c:errBars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data'!$J$35:$J$45</c:f>
              <c:numCache>
                <c:formatCode>#,##0</c:formatCode>
                <c:ptCount val="11"/>
                <c:pt idx="0">
                  <c:v>3871.9789999999998</c:v>
                </c:pt>
                <c:pt idx="1">
                  <c:v>4288.8770000000004</c:v>
                </c:pt>
                <c:pt idx="2">
                  <c:v>4524.7489999999998</c:v>
                </c:pt>
                <c:pt idx="3">
                  <c:v>4536.5780000000004</c:v>
                </c:pt>
                <c:pt idx="4">
                  <c:v>4415.8909999999996</c:v>
                </c:pt>
                <c:pt idx="5">
                  <c:v>4250.16</c:v>
                </c:pt>
                <c:pt idx="6">
                  <c:v>4012.8449999999998</c:v>
                </c:pt>
                <c:pt idx="7">
                  <c:v>3736.9560000000001</c:v>
                </c:pt>
                <c:pt idx="8">
                  <c:v>3447.0770000000002</c:v>
                </c:pt>
                <c:pt idx="9">
                  <c:v>3139.5430000000001</c:v>
                </c:pt>
                <c:pt idx="10">
                  <c:v>2895.221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7548672"/>
        <c:axId val="217550848"/>
      </c:barChart>
      <c:catAx>
        <c:axId val="21754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17550848"/>
        <c:crosses val="autoZero"/>
        <c:auto val="1"/>
        <c:lblAlgn val="ctr"/>
        <c:lblOffset val="100"/>
        <c:noMultiLvlLbl val="0"/>
      </c:catAx>
      <c:valAx>
        <c:axId val="21755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1754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Woodland area by interpreted forest type and woodland size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13757591454182"/>
          <c:y val="0.10643303985103642"/>
          <c:w val="0.77647207504609961"/>
          <c:h val="0.62242067207282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'Eng Table 5'!$C$6</c:f>
              <c:strCache>
                <c:ptCount val="1"/>
                <c:pt idx="0">
                  <c:v>2 ha and over</c:v>
                </c:pt>
              </c:strCache>
            </c:strRef>
          </c:tx>
          <c:spPr>
            <a:solidFill>
              <a:srgbClr val="318C3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'Eng 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5'!$C$8:$C$22</c:f>
              <c:numCache>
                <c:formatCode>#,##0</c:formatCode>
                <c:ptCount val="15"/>
                <c:pt idx="0">
                  <c:v>678091.2545993207</c:v>
                </c:pt>
                <c:pt idx="1">
                  <c:v>304764.98828852654</c:v>
                </c:pt>
                <c:pt idx="2">
                  <c:v>20045.650014015584</c:v>
                </c:pt>
                <c:pt idx="3">
                  <c:v>8912.0125890118979</c:v>
                </c:pt>
                <c:pt idx="4">
                  <c:v>17452.571915841563</c:v>
                </c:pt>
                <c:pt idx="5">
                  <c:v>23794.394649762737</c:v>
                </c:pt>
                <c:pt idx="6">
                  <c:v>65715.671951372715</c:v>
                </c:pt>
                <c:pt idx="7">
                  <c:v>2307.85571721407</c:v>
                </c:pt>
                <c:pt idx="8">
                  <c:v>118.563878316445</c:v>
                </c:pt>
                <c:pt idx="9">
                  <c:v>3393.136785992685</c:v>
                </c:pt>
                <c:pt idx="10">
                  <c:v>25071.133167771295</c:v>
                </c:pt>
                <c:pt idx="11">
                  <c:v>3779.7284671462803</c:v>
                </c:pt>
                <c:pt idx="12">
                  <c:v>0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ser>
          <c:idx val="1"/>
          <c:order val="1"/>
          <c:tx>
            <c:strRef>
              <c:f>'Eng Table 5'!$D$6</c:f>
              <c:strCache>
                <c:ptCount val="1"/>
                <c:pt idx="0">
                  <c:v>0.5 – &lt; 2 ha</c:v>
                </c:pt>
              </c:strCache>
            </c:strRef>
          </c:tx>
          <c:spPr>
            <a:solidFill>
              <a:srgbClr val="B6D99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'Eng 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5'!$D$8:$D$22</c:f>
              <c:numCache>
                <c:formatCode>#,##0</c:formatCode>
                <c:ptCount val="15"/>
                <c:pt idx="0">
                  <c:v>108904.01171939222</c:v>
                </c:pt>
                <c:pt idx="1">
                  <c:v>11409.717800058846</c:v>
                </c:pt>
                <c:pt idx="2">
                  <c:v>228.62453313081534</c:v>
                </c:pt>
                <c:pt idx="3">
                  <c:v>542.2380298170616</c:v>
                </c:pt>
                <c:pt idx="4">
                  <c:v>4661.4588786505283</c:v>
                </c:pt>
                <c:pt idx="5">
                  <c:v>4517.8982231383961</c:v>
                </c:pt>
                <c:pt idx="6">
                  <c:v>9382.9948371066166</c:v>
                </c:pt>
                <c:pt idx="7">
                  <c:v>116.06132781497206</c:v>
                </c:pt>
                <c:pt idx="8">
                  <c:v>4.4030956979499969</c:v>
                </c:pt>
                <c:pt idx="9">
                  <c:v>1393.2095789051107</c:v>
                </c:pt>
                <c:pt idx="10">
                  <c:v>2719.5704145873869</c:v>
                </c:pt>
                <c:pt idx="11">
                  <c:v>324.9439730161007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8859136"/>
        <c:axId val="128889600"/>
      </c:barChart>
      <c:catAx>
        <c:axId val="1288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8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889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8591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155949779874"/>
          <c:y val="0.18909473282846168"/>
          <c:w val="0.19215727445833974"/>
          <c:h val="6.80732147857950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data'!$D$35:$D$45</c:f>
              <c:numCache>
                <c:formatCode>#,##0</c:formatCode>
                <c:ptCount val="11"/>
                <c:pt idx="0">
                  <c:v>1409.8779999999999</c:v>
                </c:pt>
                <c:pt idx="1">
                  <c:v>1441.117</c:v>
                </c:pt>
                <c:pt idx="2">
                  <c:v>1352.702</c:v>
                </c:pt>
                <c:pt idx="3">
                  <c:v>1328.7719999999999</c:v>
                </c:pt>
                <c:pt idx="4">
                  <c:v>1309.3209999999999</c:v>
                </c:pt>
                <c:pt idx="5">
                  <c:v>1320.921</c:v>
                </c:pt>
                <c:pt idx="6">
                  <c:v>1335.1179999999999</c:v>
                </c:pt>
                <c:pt idx="7">
                  <c:v>1359.3810000000001</c:v>
                </c:pt>
                <c:pt idx="8">
                  <c:v>1381.636</c:v>
                </c:pt>
                <c:pt idx="9">
                  <c:v>1415.7239999999999</c:v>
                </c:pt>
                <c:pt idx="10">
                  <c:v>1430.192</c:v>
                </c:pt>
              </c:numCache>
            </c:numRef>
          </c:val>
        </c:ser>
        <c:ser>
          <c:idx val="1"/>
          <c:order val="1"/>
          <c:tx>
            <c:strRef>
              <c:f>'Section 11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data'!$L$35:$L$45</c:f>
                <c:numCache>
                  <c:formatCode>General</c:formatCode>
                  <c:ptCount val="11"/>
                  <c:pt idx="0">
                    <c:v>60.044005957890775</c:v>
                  </c:pt>
                  <c:pt idx="1">
                    <c:v>49.775965457995405</c:v>
                  </c:pt>
                  <c:pt idx="2">
                    <c:v>50.485446343506595</c:v>
                  </c:pt>
                  <c:pt idx="3">
                    <c:v>50.317222945320594</c:v>
                  </c:pt>
                  <c:pt idx="4">
                    <c:v>50.238770030162613</c:v>
                  </c:pt>
                  <c:pt idx="5">
                    <c:v>49.887409040535083</c:v>
                  </c:pt>
                  <c:pt idx="6">
                    <c:v>48.514635701409901</c:v>
                  </c:pt>
                  <c:pt idx="7">
                    <c:v>46.16911980043664</c:v>
                  </c:pt>
                  <c:pt idx="8">
                    <c:v>44.174968130795989</c:v>
                  </c:pt>
                  <c:pt idx="9">
                    <c:v>40.336180243785272</c:v>
                  </c:pt>
                  <c:pt idx="10">
                    <c:v>37.304806657937981</c:v>
                  </c:pt>
                </c:numCache>
              </c:numRef>
            </c:plus>
            <c:minus>
              <c:numRef>
                <c:f>'Section 11 chart data'!$L$35:$L$45</c:f>
                <c:numCache>
                  <c:formatCode>General</c:formatCode>
                  <c:ptCount val="11"/>
                  <c:pt idx="0">
                    <c:v>60.044005957890775</c:v>
                  </c:pt>
                  <c:pt idx="1">
                    <c:v>49.775965457995405</c:v>
                  </c:pt>
                  <c:pt idx="2">
                    <c:v>50.485446343506595</c:v>
                  </c:pt>
                  <c:pt idx="3">
                    <c:v>50.317222945320594</c:v>
                  </c:pt>
                  <c:pt idx="4">
                    <c:v>50.238770030162613</c:v>
                  </c:pt>
                  <c:pt idx="5">
                    <c:v>49.887409040535083</c:v>
                  </c:pt>
                  <c:pt idx="6">
                    <c:v>48.514635701409901</c:v>
                  </c:pt>
                  <c:pt idx="7">
                    <c:v>46.16911980043664</c:v>
                  </c:pt>
                  <c:pt idx="8">
                    <c:v>44.174968130795989</c:v>
                  </c:pt>
                  <c:pt idx="9">
                    <c:v>40.336180243785272</c:v>
                  </c:pt>
                  <c:pt idx="10">
                    <c:v>37.304806657937981</c:v>
                  </c:pt>
                </c:numCache>
              </c:numRef>
            </c:minus>
          </c:errBars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data'!$J$35:$J$45</c:f>
              <c:numCache>
                <c:formatCode>#,##0</c:formatCode>
                <c:ptCount val="11"/>
                <c:pt idx="0">
                  <c:v>3871.9789999999998</c:v>
                </c:pt>
                <c:pt idx="1">
                  <c:v>4288.8770000000004</c:v>
                </c:pt>
                <c:pt idx="2">
                  <c:v>4524.7489999999998</c:v>
                </c:pt>
                <c:pt idx="3">
                  <c:v>4536.5780000000004</c:v>
                </c:pt>
                <c:pt idx="4">
                  <c:v>4415.8909999999996</c:v>
                </c:pt>
                <c:pt idx="5">
                  <c:v>4250.16</c:v>
                </c:pt>
                <c:pt idx="6">
                  <c:v>4012.8449999999998</c:v>
                </c:pt>
                <c:pt idx="7">
                  <c:v>3736.9560000000001</c:v>
                </c:pt>
                <c:pt idx="8">
                  <c:v>3447.0770000000002</c:v>
                </c:pt>
                <c:pt idx="9">
                  <c:v>3139.5430000000001</c:v>
                </c:pt>
                <c:pt idx="10">
                  <c:v>2895.221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5043584"/>
        <c:axId val="205062144"/>
      </c:barChart>
      <c:catAx>
        <c:axId val="2050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5062144"/>
        <c:crosses val="autoZero"/>
        <c:auto val="1"/>
        <c:lblAlgn val="ctr"/>
        <c:lblOffset val="100"/>
        <c:noMultiLvlLbl val="0"/>
      </c:catAx>
      <c:valAx>
        <c:axId val="20506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504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50-year summary of hardwood standing volume, increment and availabilty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11 chart data'!$B$3:$F$3</c:f>
              <c:strCache>
                <c:ptCount val="1"/>
                <c:pt idx="0">
                  <c:v>Annual standing volume (000 m3 obs)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11 chart data'!$C$20:$C$31,'Section 11 chart data'!$I$20:$I$31,'Section 11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11 chart data'!$D$5:$D$16,'Section 11 chart data'!$J$5:$J$16,'Section 11 chart data'!$R$5:$R$15)</c:f>
              <c:numCache>
                <c:formatCode>#,##0</c:formatCode>
                <c:ptCount val="35"/>
                <c:pt idx="0">
                  <c:v>8760.9670000000006</c:v>
                </c:pt>
                <c:pt idx="1">
                  <c:v>9251.8259999999991</c:v>
                </c:pt>
                <c:pt idx="2">
                  <c:v>9998.3070000000007</c:v>
                </c:pt>
                <c:pt idx="3">
                  <c:v>10576.978999999999</c:v>
                </c:pt>
                <c:pt idx="4">
                  <c:v>11185.714</c:v>
                </c:pt>
                <c:pt idx="5">
                  <c:v>11721.040999999999</c:v>
                </c:pt>
                <c:pt idx="6">
                  <c:v>11995.288</c:v>
                </c:pt>
                <c:pt idx="7">
                  <c:v>11984.946</c:v>
                </c:pt>
                <c:pt idx="8">
                  <c:v>12299.821</c:v>
                </c:pt>
                <c:pt idx="9">
                  <c:v>12578.359</c:v>
                </c:pt>
                <c:pt idx="10">
                  <c:v>12714.181</c:v>
                </c:pt>
                <c:pt idx="12">
                  <c:v>168813.75099999999</c:v>
                </c:pt>
                <c:pt idx="13">
                  <c:v>173857.23</c:v>
                </c:pt>
                <c:pt idx="14">
                  <c:v>184255.87</c:v>
                </c:pt>
                <c:pt idx="15">
                  <c:v>200873.16800000001</c:v>
                </c:pt>
                <c:pt idx="16">
                  <c:v>218061.62299999999</c:v>
                </c:pt>
                <c:pt idx="17">
                  <c:v>235140.64</c:v>
                </c:pt>
                <c:pt idx="18">
                  <c:v>252001.01500000001</c:v>
                </c:pt>
                <c:pt idx="19">
                  <c:v>266229.93099999998</c:v>
                </c:pt>
                <c:pt idx="20">
                  <c:v>279077.58100000001</c:v>
                </c:pt>
                <c:pt idx="21">
                  <c:v>290042.84999999998</c:v>
                </c:pt>
                <c:pt idx="22">
                  <c:v>299744.72600000002</c:v>
                </c:pt>
                <c:pt idx="24">
                  <c:v>177574.71799999999</c:v>
                </c:pt>
                <c:pt idx="25">
                  <c:v>183109.05600000001</c:v>
                </c:pt>
                <c:pt idx="26">
                  <c:v>194254.177</c:v>
                </c:pt>
                <c:pt idx="27">
                  <c:v>211450.147</c:v>
                </c:pt>
                <c:pt idx="28">
                  <c:v>229247.337</c:v>
                </c:pt>
                <c:pt idx="29">
                  <c:v>246861.68100000001</c:v>
                </c:pt>
                <c:pt idx="30">
                  <c:v>263996.30300000001</c:v>
                </c:pt>
                <c:pt idx="31">
                  <c:v>278214.87699999998</c:v>
                </c:pt>
                <c:pt idx="32">
                  <c:v>291377.402</c:v>
                </c:pt>
                <c:pt idx="33">
                  <c:v>302621.20899999997</c:v>
                </c:pt>
                <c:pt idx="34">
                  <c:v>312458.90700000001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634240"/>
        <c:axId val="230636160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11 chart data'!$B$33:$F$33</c:f>
              <c:strCache>
                <c:ptCount val="1"/>
                <c:pt idx="0">
                  <c:v>Periodic net increment (000 m3 obs)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11 chart data'!$F$35:$F$46,'Section 11 chart data'!$N$35:$N$46,'Section 11 chart data'!$T$35:$T$45)</c:f>
              <c:numCache>
                <c:formatCode>#,##0</c:formatCode>
                <c:ptCount val="35"/>
                <c:pt idx="0">
                  <c:v>5639.5119999999997</c:v>
                </c:pt>
                <c:pt idx="1">
                  <c:v>7205.585</c:v>
                </c:pt>
                <c:pt idx="2">
                  <c:v>6763.51</c:v>
                </c:pt>
                <c:pt idx="3">
                  <c:v>6643.86</c:v>
                </c:pt>
                <c:pt idx="4">
                  <c:v>6546.6049999999996</c:v>
                </c:pt>
                <c:pt idx="5">
                  <c:v>6604.6050000000005</c:v>
                </c:pt>
                <c:pt idx="6">
                  <c:v>6675.59</c:v>
                </c:pt>
                <c:pt idx="7">
                  <c:v>6796.9050000000007</c:v>
                </c:pt>
                <c:pt idx="8">
                  <c:v>6908.18</c:v>
                </c:pt>
                <c:pt idx="9">
                  <c:v>7078.62</c:v>
                </c:pt>
                <c:pt idx="10">
                  <c:v>7150.96</c:v>
                </c:pt>
                <c:pt idx="12">
                  <c:v>15487.915999999999</c:v>
                </c:pt>
                <c:pt idx="13">
                  <c:v>21444.385000000002</c:v>
                </c:pt>
                <c:pt idx="14">
                  <c:v>22623.744999999999</c:v>
                </c:pt>
                <c:pt idx="15">
                  <c:v>22682.890000000003</c:v>
                </c:pt>
                <c:pt idx="16">
                  <c:v>22079.454999999998</c:v>
                </c:pt>
                <c:pt idx="17">
                  <c:v>21250.799999999999</c:v>
                </c:pt>
                <c:pt idx="18">
                  <c:v>20064.224999999999</c:v>
                </c:pt>
                <c:pt idx="19">
                  <c:v>18684.78</c:v>
                </c:pt>
                <c:pt idx="20">
                  <c:v>17235.385000000002</c:v>
                </c:pt>
                <c:pt idx="21">
                  <c:v>15697.715</c:v>
                </c:pt>
                <c:pt idx="22">
                  <c:v>14476.105</c:v>
                </c:pt>
                <c:pt idx="24">
                  <c:v>21127.428</c:v>
                </c:pt>
                <c:pt idx="25">
                  <c:v>28649.97</c:v>
                </c:pt>
                <c:pt idx="26">
                  <c:v>29387.255000000001</c:v>
                </c:pt>
                <c:pt idx="27">
                  <c:v>29326.75</c:v>
                </c:pt>
                <c:pt idx="28">
                  <c:v>28626.059999999998</c:v>
                </c:pt>
                <c:pt idx="29">
                  <c:v>27855.404999999999</c:v>
                </c:pt>
                <c:pt idx="30">
                  <c:v>26739.814999999999</c:v>
                </c:pt>
                <c:pt idx="31">
                  <c:v>25481.685000000001</c:v>
                </c:pt>
                <c:pt idx="32">
                  <c:v>24143.564999999999</c:v>
                </c:pt>
                <c:pt idx="33">
                  <c:v>22776.334999999999</c:v>
                </c:pt>
                <c:pt idx="34">
                  <c:v>21627.065000000002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642048"/>
        <c:axId val="230643584"/>
      </c:barChart>
      <c:lineChart>
        <c:grouping val="standard"/>
        <c:varyColors val="0"/>
        <c:ser>
          <c:idx val="2"/>
          <c:order val="2"/>
          <c:tx>
            <c:strRef>
              <c:f>'Section 11 chart data'!$B$48:$F$48</c:f>
              <c:strCache>
                <c:ptCount val="1"/>
                <c:pt idx="0">
                  <c:v>Periodic availability (000 m3 obs)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11 chart data'!$F$50:$F$61,'Section 11 chart data'!$N$50:$N$61,'Section 11 chart data'!$T$50:$T$60)</c:f>
              <c:numCache>
                <c:formatCode>#,##0</c:formatCode>
                <c:ptCount val="35"/>
                <c:pt idx="0">
                  <c:v>287.11600000000004</c:v>
                </c:pt>
                <c:pt idx="1">
                  <c:v>231.84</c:v>
                </c:pt>
                <c:pt idx="2">
                  <c:v>393.75499999999994</c:v>
                </c:pt>
                <c:pt idx="3">
                  <c:v>373.89000000000004</c:v>
                </c:pt>
                <c:pt idx="4">
                  <c:v>445.63</c:v>
                </c:pt>
                <c:pt idx="5">
                  <c:v>695.47</c:v>
                </c:pt>
                <c:pt idx="6">
                  <c:v>965.07999999999993</c:v>
                </c:pt>
                <c:pt idx="7">
                  <c:v>636.16499999999985</c:v>
                </c:pt>
                <c:pt idx="8">
                  <c:v>666.70999999999992</c:v>
                </c:pt>
                <c:pt idx="9">
                  <c:v>807.28000000000009</c:v>
                </c:pt>
                <c:pt idx="10">
                  <c:v>782.48500000000013</c:v>
                </c:pt>
                <c:pt idx="12">
                  <c:v>10444.432000000001</c:v>
                </c:pt>
                <c:pt idx="13">
                  <c:v>10934.965</c:v>
                </c:pt>
                <c:pt idx="14">
                  <c:v>6006.45</c:v>
                </c:pt>
                <c:pt idx="15">
                  <c:v>5494.43</c:v>
                </c:pt>
                <c:pt idx="16">
                  <c:v>5000.4450000000006</c:v>
                </c:pt>
                <c:pt idx="17">
                  <c:v>4390.4250000000002</c:v>
                </c:pt>
                <c:pt idx="18">
                  <c:v>5835.3150000000005</c:v>
                </c:pt>
                <c:pt idx="19">
                  <c:v>5837.1450000000004</c:v>
                </c:pt>
                <c:pt idx="20">
                  <c:v>6270.125</c:v>
                </c:pt>
                <c:pt idx="21">
                  <c:v>5995.8399999999992</c:v>
                </c:pt>
                <c:pt idx="22">
                  <c:v>6442.9549999999999</c:v>
                </c:pt>
                <c:pt idx="24">
                  <c:v>10731.548000000001</c:v>
                </c:pt>
                <c:pt idx="25">
                  <c:v>11166.805</c:v>
                </c:pt>
                <c:pt idx="26">
                  <c:v>6400.2049999999999</c:v>
                </c:pt>
                <c:pt idx="27">
                  <c:v>5868.32</c:v>
                </c:pt>
                <c:pt idx="28">
                  <c:v>5446.0750000000007</c:v>
                </c:pt>
                <c:pt idx="29">
                  <c:v>5085.8950000000004</c:v>
                </c:pt>
                <c:pt idx="30">
                  <c:v>6800.3950000000004</c:v>
                </c:pt>
                <c:pt idx="31">
                  <c:v>6473.31</c:v>
                </c:pt>
                <c:pt idx="32">
                  <c:v>6936.8350000000009</c:v>
                </c:pt>
                <c:pt idx="33">
                  <c:v>6803.119999999999</c:v>
                </c:pt>
                <c:pt idx="34">
                  <c:v>7225.44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42048"/>
        <c:axId val="230643584"/>
      </c:lineChart>
      <c:catAx>
        <c:axId val="23063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3063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063616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0634240"/>
        <c:crosses val="autoZero"/>
        <c:crossBetween val="between"/>
      </c:valAx>
      <c:catAx>
        <c:axId val="23064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643584"/>
        <c:crosses val="autoZero"/>
        <c:auto val="0"/>
        <c:lblAlgn val="ctr"/>
        <c:lblOffset val="100"/>
        <c:noMultiLvlLbl val="0"/>
      </c:catAx>
      <c:valAx>
        <c:axId val="230643584"/>
        <c:scaling>
          <c:orientation val="minMax"/>
          <c:max val="35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064204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11 chart data'!$B$3:$F$3</c:f>
              <c:strCache>
                <c:ptCount val="1"/>
                <c:pt idx="0">
                  <c:v>Annual standing volume (000 m3 obs)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11 chart data'!$C$20:$C$31,'Section 11 chart data'!$I$20:$I$31,'Section 11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11 chart data'!$D$5:$D$16,'Section 11 chart data'!$J$5:$J$16,'Section 11 chart data'!$R$5:$R$15)</c:f>
              <c:numCache>
                <c:formatCode>#,##0</c:formatCode>
                <c:ptCount val="35"/>
                <c:pt idx="0">
                  <c:v>8760.9670000000006</c:v>
                </c:pt>
                <c:pt idx="1">
                  <c:v>9251.8259999999991</c:v>
                </c:pt>
                <c:pt idx="2">
                  <c:v>9998.3070000000007</c:v>
                </c:pt>
                <c:pt idx="3">
                  <c:v>10576.978999999999</c:v>
                </c:pt>
                <c:pt idx="4">
                  <c:v>11185.714</c:v>
                </c:pt>
                <c:pt idx="5">
                  <c:v>11721.040999999999</c:v>
                </c:pt>
                <c:pt idx="6">
                  <c:v>11995.288</c:v>
                </c:pt>
                <c:pt idx="7">
                  <c:v>11984.946</c:v>
                </c:pt>
                <c:pt idx="8">
                  <c:v>12299.821</c:v>
                </c:pt>
                <c:pt idx="9">
                  <c:v>12578.359</c:v>
                </c:pt>
                <c:pt idx="10">
                  <c:v>12714.181</c:v>
                </c:pt>
                <c:pt idx="12">
                  <c:v>168813.75099999999</c:v>
                </c:pt>
                <c:pt idx="13">
                  <c:v>173857.23</c:v>
                </c:pt>
                <c:pt idx="14">
                  <c:v>184255.87</c:v>
                </c:pt>
                <c:pt idx="15">
                  <c:v>200873.16800000001</c:v>
                </c:pt>
                <c:pt idx="16">
                  <c:v>218061.62299999999</c:v>
                </c:pt>
                <c:pt idx="17">
                  <c:v>235140.64</c:v>
                </c:pt>
                <c:pt idx="18">
                  <c:v>252001.01500000001</c:v>
                </c:pt>
                <c:pt idx="19">
                  <c:v>266229.93099999998</c:v>
                </c:pt>
                <c:pt idx="20">
                  <c:v>279077.58100000001</c:v>
                </c:pt>
                <c:pt idx="21">
                  <c:v>290042.84999999998</c:v>
                </c:pt>
                <c:pt idx="22">
                  <c:v>299744.72600000002</c:v>
                </c:pt>
                <c:pt idx="24">
                  <c:v>177574.71799999999</c:v>
                </c:pt>
                <c:pt idx="25">
                  <c:v>183109.05600000001</c:v>
                </c:pt>
                <c:pt idx="26">
                  <c:v>194254.177</c:v>
                </c:pt>
                <c:pt idx="27">
                  <c:v>211450.147</c:v>
                </c:pt>
                <c:pt idx="28">
                  <c:v>229247.337</c:v>
                </c:pt>
                <c:pt idx="29">
                  <c:v>246861.68100000001</c:v>
                </c:pt>
                <c:pt idx="30">
                  <c:v>263996.30300000001</c:v>
                </c:pt>
                <c:pt idx="31">
                  <c:v>278214.87699999998</c:v>
                </c:pt>
                <c:pt idx="32">
                  <c:v>291377.402</c:v>
                </c:pt>
                <c:pt idx="33">
                  <c:v>302621.20899999997</c:v>
                </c:pt>
                <c:pt idx="34">
                  <c:v>312458.90700000001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7618304"/>
        <c:axId val="217624576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11 chart data'!$B$33:$F$33</c:f>
              <c:strCache>
                <c:ptCount val="1"/>
                <c:pt idx="0">
                  <c:v>Periodic net increment (000 m3 obs)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11 chart data'!$F$35:$F$46,'Section 11 chart data'!$N$35:$N$46,'Section 11 chart data'!$T$35:$T$45)</c:f>
              <c:numCache>
                <c:formatCode>#,##0</c:formatCode>
                <c:ptCount val="35"/>
                <c:pt idx="0">
                  <c:v>5639.5119999999997</c:v>
                </c:pt>
                <c:pt idx="1">
                  <c:v>7205.585</c:v>
                </c:pt>
                <c:pt idx="2">
                  <c:v>6763.51</c:v>
                </c:pt>
                <c:pt idx="3">
                  <c:v>6643.86</c:v>
                </c:pt>
                <c:pt idx="4">
                  <c:v>6546.6049999999996</c:v>
                </c:pt>
                <c:pt idx="5">
                  <c:v>6604.6050000000005</c:v>
                </c:pt>
                <c:pt idx="6">
                  <c:v>6675.59</c:v>
                </c:pt>
                <c:pt idx="7">
                  <c:v>6796.9050000000007</c:v>
                </c:pt>
                <c:pt idx="8">
                  <c:v>6908.18</c:v>
                </c:pt>
                <c:pt idx="9">
                  <c:v>7078.62</c:v>
                </c:pt>
                <c:pt idx="10">
                  <c:v>7150.96</c:v>
                </c:pt>
                <c:pt idx="12">
                  <c:v>15487.915999999999</c:v>
                </c:pt>
                <c:pt idx="13">
                  <c:v>21444.385000000002</c:v>
                </c:pt>
                <c:pt idx="14">
                  <c:v>22623.744999999999</c:v>
                </c:pt>
                <c:pt idx="15">
                  <c:v>22682.890000000003</c:v>
                </c:pt>
                <c:pt idx="16">
                  <c:v>22079.454999999998</c:v>
                </c:pt>
                <c:pt idx="17">
                  <c:v>21250.799999999999</c:v>
                </c:pt>
                <c:pt idx="18">
                  <c:v>20064.224999999999</c:v>
                </c:pt>
                <c:pt idx="19">
                  <c:v>18684.78</c:v>
                </c:pt>
                <c:pt idx="20">
                  <c:v>17235.385000000002</c:v>
                </c:pt>
                <c:pt idx="21">
                  <c:v>15697.715</c:v>
                </c:pt>
                <c:pt idx="22">
                  <c:v>14476.105</c:v>
                </c:pt>
                <c:pt idx="24">
                  <c:v>21127.428</c:v>
                </c:pt>
                <c:pt idx="25">
                  <c:v>28649.97</c:v>
                </c:pt>
                <c:pt idx="26">
                  <c:v>29387.255000000001</c:v>
                </c:pt>
                <c:pt idx="27">
                  <c:v>29326.75</c:v>
                </c:pt>
                <c:pt idx="28">
                  <c:v>28626.059999999998</c:v>
                </c:pt>
                <c:pt idx="29">
                  <c:v>27855.404999999999</c:v>
                </c:pt>
                <c:pt idx="30">
                  <c:v>26739.814999999999</c:v>
                </c:pt>
                <c:pt idx="31">
                  <c:v>25481.685000000001</c:v>
                </c:pt>
                <c:pt idx="32">
                  <c:v>24143.564999999999</c:v>
                </c:pt>
                <c:pt idx="33">
                  <c:v>22776.334999999999</c:v>
                </c:pt>
                <c:pt idx="34">
                  <c:v>21627.065000000002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7626112"/>
        <c:axId val="217627648"/>
      </c:barChart>
      <c:lineChart>
        <c:grouping val="standard"/>
        <c:varyColors val="0"/>
        <c:ser>
          <c:idx val="2"/>
          <c:order val="2"/>
          <c:tx>
            <c:strRef>
              <c:f>'Section 11 chart data'!$B$48:$F$48</c:f>
              <c:strCache>
                <c:ptCount val="1"/>
                <c:pt idx="0">
                  <c:v>Periodic availability (000 m3 obs)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11 chart data'!$F$50:$F$61,'Section 11 chart data'!$N$50:$N$61,'Section 11 chart data'!$T$50:$T$60)</c:f>
              <c:numCache>
                <c:formatCode>#,##0</c:formatCode>
                <c:ptCount val="35"/>
                <c:pt idx="0">
                  <c:v>287.11600000000004</c:v>
                </c:pt>
                <c:pt idx="1">
                  <c:v>231.84</c:v>
                </c:pt>
                <c:pt idx="2">
                  <c:v>393.75499999999994</c:v>
                </c:pt>
                <c:pt idx="3">
                  <c:v>373.89000000000004</c:v>
                </c:pt>
                <c:pt idx="4">
                  <c:v>445.63</c:v>
                </c:pt>
                <c:pt idx="5">
                  <c:v>695.47</c:v>
                </c:pt>
                <c:pt idx="6">
                  <c:v>965.07999999999993</c:v>
                </c:pt>
                <c:pt idx="7">
                  <c:v>636.16499999999985</c:v>
                </c:pt>
                <c:pt idx="8">
                  <c:v>666.70999999999992</c:v>
                </c:pt>
                <c:pt idx="9">
                  <c:v>807.28000000000009</c:v>
                </c:pt>
                <c:pt idx="10">
                  <c:v>782.48500000000013</c:v>
                </c:pt>
                <c:pt idx="12">
                  <c:v>10444.432000000001</c:v>
                </c:pt>
                <c:pt idx="13">
                  <c:v>10934.965</c:v>
                </c:pt>
                <c:pt idx="14">
                  <c:v>6006.45</c:v>
                </c:pt>
                <c:pt idx="15">
                  <c:v>5494.43</c:v>
                </c:pt>
                <c:pt idx="16">
                  <c:v>5000.4450000000006</c:v>
                </c:pt>
                <c:pt idx="17">
                  <c:v>4390.4250000000002</c:v>
                </c:pt>
                <c:pt idx="18">
                  <c:v>5835.3150000000005</c:v>
                </c:pt>
                <c:pt idx="19">
                  <c:v>5837.1450000000004</c:v>
                </c:pt>
                <c:pt idx="20">
                  <c:v>6270.125</c:v>
                </c:pt>
                <c:pt idx="21">
                  <c:v>5995.8399999999992</c:v>
                </c:pt>
                <c:pt idx="22">
                  <c:v>6442.9549999999999</c:v>
                </c:pt>
                <c:pt idx="24">
                  <c:v>10731.548000000001</c:v>
                </c:pt>
                <c:pt idx="25">
                  <c:v>11166.805</c:v>
                </c:pt>
                <c:pt idx="26">
                  <c:v>6400.2049999999999</c:v>
                </c:pt>
                <c:pt idx="27">
                  <c:v>5868.32</c:v>
                </c:pt>
                <c:pt idx="28">
                  <c:v>5446.0750000000007</c:v>
                </c:pt>
                <c:pt idx="29">
                  <c:v>5085.8950000000004</c:v>
                </c:pt>
                <c:pt idx="30">
                  <c:v>6800.3950000000004</c:v>
                </c:pt>
                <c:pt idx="31">
                  <c:v>6473.31</c:v>
                </c:pt>
                <c:pt idx="32">
                  <c:v>6936.8350000000009</c:v>
                </c:pt>
                <c:pt idx="33">
                  <c:v>6803.119999999999</c:v>
                </c:pt>
                <c:pt idx="34">
                  <c:v>7225.44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26112"/>
        <c:axId val="217627648"/>
      </c:lineChart>
      <c:catAx>
        <c:axId val="21761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17624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762457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7618304"/>
        <c:crosses val="autoZero"/>
        <c:crossBetween val="between"/>
      </c:valAx>
      <c:catAx>
        <c:axId val="21762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7627648"/>
        <c:crosses val="autoZero"/>
        <c:auto val="0"/>
        <c:lblAlgn val="ctr"/>
        <c:lblOffset val="100"/>
        <c:noMultiLvlLbl val="0"/>
      </c:catAx>
      <c:valAx>
        <c:axId val="217627648"/>
        <c:scaling>
          <c:orientation val="minMax"/>
          <c:max val="350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76261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hardwood forecast showing contribution by Aligned Area (FC+PS)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62480817161"/>
          <c:y val="8.7658718974384944E-2"/>
          <c:w val="0.5843087386052862"/>
          <c:h val="0.8157409560317732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'Section 11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country'!$C$67:$M$67</c:f>
              <c:numCache>
                <c:formatCode>#,##0</c:formatCode>
                <c:ptCount val="11"/>
                <c:pt idx="0">
                  <c:v>154.083</c:v>
                </c:pt>
                <c:pt idx="1">
                  <c:v>168.14400000000001</c:v>
                </c:pt>
                <c:pt idx="2">
                  <c:v>61.283000000000001</c:v>
                </c:pt>
                <c:pt idx="3">
                  <c:v>94.674999999999997</c:v>
                </c:pt>
                <c:pt idx="4">
                  <c:v>42.433999999999997</c:v>
                </c:pt>
                <c:pt idx="5">
                  <c:v>47.077999999999996</c:v>
                </c:pt>
                <c:pt idx="6">
                  <c:v>74.31</c:v>
                </c:pt>
                <c:pt idx="7">
                  <c:v>103.61099999999999</c:v>
                </c:pt>
                <c:pt idx="8">
                  <c:v>56.56</c:v>
                </c:pt>
                <c:pt idx="9">
                  <c:v>64.418999999999997</c:v>
                </c:pt>
                <c:pt idx="10">
                  <c:v>69.632999999999996</c:v>
                </c:pt>
              </c:numCache>
            </c:numRef>
          </c:val>
        </c:ser>
        <c:ser>
          <c:idx val="1"/>
          <c:order val="1"/>
          <c:tx>
            <c:strRef>
              <c:f>'Section 11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country'!$C$68:$M$68</c:f>
              <c:numCache>
                <c:formatCode>#,##0</c:formatCode>
                <c:ptCount val="11"/>
                <c:pt idx="0">
                  <c:v>77.837000000000003</c:v>
                </c:pt>
                <c:pt idx="1">
                  <c:v>72.792999999999992</c:v>
                </c:pt>
                <c:pt idx="2">
                  <c:v>19.417749999999998</c:v>
                </c:pt>
                <c:pt idx="3">
                  <c:v>56.024000000000001</c:v>
                </c:pt>
                <c:pt idx="4">
                  <c:v>58.331999999999994</c:v>
                </c:pt>
                <c:pt idx="5">
                  <c:v>85.214999999999989</c:v>
                </c:pt>
                <c:pt idx="6">
                  <c:v>93.89500000000001</c:v>
                </c:pt>
                <c:pt idx="7">
                  <c:v>65.198999999999998</c:v>
                </c:pt>
                <c:pt idx="8">
                  <c:v>63.68</c:v>
                </c:pt>
                <c:pt idx="9">
                  <c:v>73.151999999999987</c:v>
                </c:pt>
                <c:pt idx="10">
                  <c:v>94.02</c:v>
                </c:pt>
              </c:numCache>
            </c:numRef>
          </c:val>
        </c:ser>
        <c:ser>
          <c:idx val="2"/>
          <c:order val="2"/>
          <c:tx>
            <c:strRef>
              <c:f>'Section 11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country'!$C$69:$M$69</c:f>
              <c:numCache>
                <c:formatCode>#,##0</c:formatCode>
                <c:ptCount val="11"/>
                <c:pt idx="0">
                  <c:v>152.55099999999999</c:v>
                </c:pt>
                <c:pt idx="1">
                  <c:v>119.175</c:v>
                </c:pt>
                <c:pt idx="2">
                  <c:v>97.507000000000005</c:v>
                </c:pt>
                <c:pt idx="3">
                  <c:v>49.859000000000002</c:v>
                </c:pt>
                <c:pt idx="4">
                  <c:v>111.74000000000001</c:v>
                </c:pt>
                <c:pt idx="5">
                  <c:v>68.575000000000003</c:v>
                </c:pt>
                <c:pt idx="6">
                  <c:v>76.874000000000009</c:v>
                </c:pt>
                <c:pt idx="7">
                  <c:v>75.61099999999999</c:v>
                </c:pt>
                <c:pt idx="8">
                  <c:v>72.819000000000003</c:v>
                </c:pt>
                <c:pt idx="9">
                  <c:v>80.096999999999994</c:v>
                </c:pt>
                <c:pt idx="10">
                  <c:v>103.14399999999999</c:v>
                </c:pt>
              </c:numCache>
            </c:numRef>
          </c:val>
        </c:ser>
        <c:ser>
          <c:idx val="3"/>
          <c:order val="3"/>
          <c:tx>
            <c:strRef>
              <c:f>'Section 11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country'!$C$70:$M$70</c:f>
              <c:numCache>
                <c:formatCode>#,##0</c:formatCode>
                <c:ptCount val="11"/>
                <c:pt idx="0">
                  <c:v>148.81800000000001</c:v>
                </c:pt>
                <c:pt idx="1">
                  <c:v>111.914</c:v>
                </c:pt>
                <c:pt idx="2">
                  <c:v>78.301000000000002</c:v>
                </c:pt>
                <c:pt idx="3">
                  <c:v>81.638999999999996</c:v>
                </c:pt>
                <c:pt idx="4">
                  <c:v>64.478000000000009</c:v>
                </c:pt>
                <c:pt idx="5">
                  <c:v>34.06</c:v>
                </c:pt>
                <c:pt idx="6">
                  <c:v>62.239999999999995</c:v>
                </c:pt>
                <c:pt idx="7">
                  <c:v>71.131</c:v>
                </c:pt>
                <c:pt idx="8">
                  <c:v>55.271000000000001</c:v>
                </c:pt>
                <c:pt idx="9">
                  <c:v>63.895000000000003</c:v>
                </c:pt>
                <c:pt idx="10">
                  <c:v>68.736999999999995</c:v>
                </c:pt>
              </c:numCache>
            </c:numRef>
          </c:val>
        </c:ser>
        <c:ser>
          <c:idx val="4"/>
          <c:order val="4"/>
          <c:tx>
            <c:strRef>
              <c:f>'Section 11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country'!$C$71:$M$71</c:f>
              <c:numCache>
                <c:formatCode>#,##0</c:formatCode>
                <c:ptCount val="11"/>
                <c:pt idx="0">
                  <c:v>240.24800000000002</c:v>
                </c:pt>
                <c:pt idx="1">
                  <c:v>116.09699999999999</c:v>
                </c:pt>
                <c:pt idx="2">
                  <c:v>26.32</c:v>
                </c:pt>
                <c:pt idx="3">
                  <c:v>43.794999999999995</c:v>
                </c:pt>
                <c:pt idx="4">
                  <c:v>35.230999999999995</c:v>
                </c:pt>
                <c:pt idx="5">
                  <c:v>36.629000000000005</c:v>
                </c:pt>
                <c:pt idx="6">
                  <c:v>37.207000000000001</c:v>
                </c:pt>
                <c:pt idx="7">
                  <c:v>50.072000000000003</c:v>
                </c:pt>
                <c:pt idx="8">
                  <c:v>60.500999999999998</c:v>
                </c:pt>
                <c:pt idx="9">
                  <c:v>64.99799999999999</c:v>
                </c:pt>
                <c:pt idx="10">
                  <c:v>78.472999999999999</c:v>
                </c:pt>
              </c:numCache>
            </c:numRef>
          </c:val>
        </c:ser>
        <c:ser>
          <c:idx val="5"/>
          <c:order val="5"/>
          <c:tx>
            <c:strRef>
              <c:f>'Section 11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country'!$C$72:$M$72</c:f>
              <c:numCache>
                <c:formatCode>#,##0</c:formatCode>
                <c:ptCount val="11"/>
                <c:pt idx="0">
                  <c:v>63.679000000000002</c:v>
                </c:pt>
                <c:pt idx="1">
                  <c:v>48.600999999999999</c:v>
                </c:pt>
                <c:pt idx="2">
                  <c:v>21.241</c:v>
                </c:pt>
                <c:pt idx="3">
                  <c:v>20.470000000000002</c:v>
                </c:pt>
                <c:pt idx="4">
                  <c:v>17.227999999999998</c:v>
                </c:pt>
                <c:pt idx="5">
                  <c:v>27.87</c:v>
                </c:pt>
                <c:pt idx="6">
                  <c:v>22.673999999999999</c:v>
                </c:pt>
                <c:pt idx="7">
                  <c:v>22.911000000000001</c:v>
                </c:pt>
                <c:pt idx="8">
                  <c:v>49.941000000000003</c:v>
                </c:pt>
                <c:pt idx="9">
                  <c:v>22.327999999999999</c:v>
                </c:pt>
                <c:pt idx="10">
                  <c:v>26.382999999999999</c:v>
                </c:pt>
              </c:numCache>
            </c:numRef>
          </c:val>
        </c:ser>
        <c:ser>
          <c:idx val="6"/>
          <c:order val="6"/>
          <c:tx>
            <c:strRef>
              <c:f>'Section 11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country'!$C$73:$M$73</c:f>
              <c:numCache>
                <c:formatCode>#,##0</c:formatCode>
                <c:ptCount val="11"/>
                <c:pt idx="0">
                  <c:v>176.208</c:v>
                </c:pt>
                <c:pt idx="1">
                  <c:v>182.85500000000002</c:v>
                </c:pt>
                <c:pt idx="2">
                  <c:v>155.125</c:v>
                </c:pt>
                <c:pt idx="3">
                  <c:v>139.053</c:v>
                </c:pt>
                <c:pt idx="4">
                  <c:v>113.339</c:v>
                </c:pt>
                <c:pt idx="5">
                  <c:v>105.842</c:v>
                </c:pt>
                <c:pt idx="6">
                  <c:v>128.208</c:v>
                </c:pt>
                <c:pt idx="7">
                  <c:v>121.752</c:v>
                </c:pt>
                <c:pt idx="8">
                  <c:v>210.87</c:v>
                </c:pt>
                <c:pt idx="9">
                  <c:v>133.04599999999999</c:v>
                </c:pt>
                <c:pt idx="10">
                  <c:v>190.66899999999998</c:v>
                </c:pt>
              </c:numCache>
            </c:numRef>
          </c:val>
        </c:ser>
        <c:ser>
          <c:idx val="7"/>
          <c:order val="7"/>
          <c:tx>
            <c:strRef>
              <c:f>'Section 11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country'!$C$74:$M$74</c:f>
              <c:numCache>
                <c:formatCode>#,##0</c:formatCode>
                <c:ptCount val="11"/>
                <c:pt idx="0">
                  <c:v>175.05800000000002</c:v>
                </c:pt>
                <c:pt idx="1">
                  <c:v>107.04600000000001</c:v>
                </c:pt>
                <c:pt idx="2">
                  <c:v>62.151000000000003</c:v>
                </c:pt>
                <c:pt idx="3">
                  <c:v>35.811</c:v>
                </c:pt>
                <c:pt idx="4">
                  <c:v>42.633000000000003</c:v>
                </c:pt>
                <c:pt idx="5">
                  <c:v>60.931000000000004</c:v>
                </c:pt>
                <c:pt idx="6">
                  <c:v>72.474999999999994</c:v>
                </c:pt>
                <c:pt idx="7">
                  <c:v>54.252000000000002</c:v>
                </c:pt>
                <c:pt idx="8">
                  <c:v>76.914999999999992</c:v>
                </c:pt>
                <c:pt idx="9">
                  <c:v>57.101999999999997</c:v>
                </c:pt>
                <c:pt idx="10">
                  <c:v>75.316000000000003</c:v>
                </c:pt>
              </c:numCache>
            </c:numRef>
          </c:val>
        </c:ser>
        <c:ser>
          <c:idx val="8"/>
          <c:order val="8"/>
          <c:tx>
            <c:strRef>
              <c:f>'Section 11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country'!$C$75:$M$75</c:f>
              <c:numCache>
                <c:formatCode>#,##0</c:formatCode>
                <c:ptCount val="11"/>
                <c:pt idx="0">
                  <c:v>111.84400000000001</c:v>
                </c:pt>
                <c:pt idx="1">
                  <c:v>84.491</c:v>
                </c:pt>
                <c:pt idx="2">
                  <c:v>50.261000000000003</c:v>
                </c:pt>
                <c:pt idx="3">
                  <c:v>58.841000000000001</c:v>
                </c:pt>
                <c:pt idx="4">
                  <c:v>47.954999999999998</c:v>
                </c:pt>
                <c:pt idx="5">
                  <c:v>34.286999999999999</c:v>
                </c:pt>
                <c:pt idx="6">
                  <c:v>78.381</c:v>
                </c:pt>
                <c:pt idx="7">
                  <c:v>53.346000000000004</c:v>
                </c:pt>
                <c:pt idx="8">
                  <c:v>54.328000000000003</c:v>
                </c:pt>
                <c:pt idx="9">
                  <c:v>63.594999999999999</c:v>
                </c:pt>
                <c:pt idx="10">
                  <c:v>76.304999999999993</c:v>
                </c:pt>
              </c:numCache>
            </c:numRef>
          </c:val>
        </c:ser>
        <c:ser>
          <c:idx val="9"/>
          <c:order val="9"/>
          <c:tx>
            <c:strRef>
              <c:f>'Section 11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country'!$C$76:$M$76</c:f>
              <c:numCache>
                <c:formatCode>#,##0</c:formatCode>
                <c:ptCount val="11"/>
                <c:pt idx="0">
                  <c:v>243.07000000000002</c:v>
                </c:pt>
                <c:pt idx="1">
                  <c:v>211.977</c:v>
                </c:pt>
                <c:pt idx="2">
                  <c:v>111.328</c:v>
                </c:pt>
                <c:pt idx="3">
                  <c:v>85.653999999999996</c:v>
                </c:pt>
                <c:pt idx="4">
                  <c:v>106.614</c:v>
                </c:pt>
                <c:pt idx="5">
                  <c:v>137.148</c:v>
                </c:pt>
                <c:pt idx="6">
                  <c:v>161.286</c:v>
                </c:pt>
                <c:pt idx="7">
                  <c:v>122.19200000000001</c:v>
                </c:pt>
                <c:pt idx="8">
                  <c:v>145.25</c:v>
                </c:pt>
                <c:pt idx="9">
                  <c:v>173.04600000000002</c:v>
                </c:pt>
                <c:pt idx="10">
                  <c:v>128.34299999999999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country'!$C$77:$M$77</c:f>
              <c:numCache>
                <c:formatCode>#,##0</c:formatCode>
                <c:ptCount val="11"/>
                <c:pt idx="0">
                  <c:v>272.59500000000003</c:v>
                </c:pt>
                <c:pt idx="1">
                  <c:v>253.524</c:v>
                </c:pt>
                <c:pt idx="2">
                  <c:v>137.01000000000002</c:v>
                </c:pt>
                <c:pt idx="3">
                  <c:v>158.29599999999999</c:v>
                </c:pt>
                <c:pt idx="4">
                  <c:v>101.146</c:v>
                </c:pt>
                <c:pt idx="5">
                  <c:v>106.694</c:v>
                </c:pt>
                <c:pt idx="6">
                  <c:v>142.38</c:v>
                </c:pt>
                <c:pt idx="7">
                  <c:v>175.79900000000001</c:v>
                </c:pt>
                <c:pt idx="8">
                  <c:v>148.55700000000002</c:v>
                </c:pt>
                <c:pt idx="9">
                  <c:v>157.916</c:v>
                </c:pt>
                <c:pt idx="10">
                  <c:v>146.797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country'!$C$78:$M$78</c:f>
              <c:numCache>
                <c:formatCode>#,##0</c:formatCode>
                <c:ptCount val="11"/>
                <c:pt idx="0">
                  <c:v>168.03399999999999</c:v>
                </c:pt>
                <c:pt idx="1">
                  <c:v>181.57900000000001</c:v>
                </c:pt>
                <c:pt idx="2">
                  <c:v>76.905000000000001</c:v>
                </c:pt>
                <c:pt idx="3">
                  <c:v>55.585999999999999</c:v>
                </c:pt>
                <c:pt idx="4">
                  <c:v>84.93</c:v>
                </c:pt>
                <c:pt idx="5">
                  <c:v>73.534000000000006</c:v>
                </c:pt>
                <c:pt idx="6">
                  <c:v>107.80600000000001</c:v>
                </c:pt>
                <c:pt idx="7">
                  <c:v>78.442999999999998</c:v>
                </c:pt>
                <c:pt idx="8">
                  <c:v>89.600999999999999</c:v>
                </c:pt>
                <c:pt idx="9">
                  <c:v>96.02600000000001</c:v>
                </c:pt>
                <c:pt idx="10">
                  <c:v>93.924999999999997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country'!$C$79:$M$79</c:f>
              <c:numCache>
                <c:formatCode>#,##0</c:formatCode>
                <c:ptCount val="11"/>
                <c:pt idx="0">
                  <c:v>382.39499999999998</c:v>
                </c:pt>
                <c:pt idx="1">
                  <c:v>341.75</c:v>
                </c:pt>
                <c:pt idx="2">
                  <c:v>214.59399999999999</c:v>
                </c:pt>
                <c:pt idx="3">
                  <c:v>194.14599999999999</c:v>
                </c:pt>
                <c:pt idx="4">
                  <c:v>163.80799999999999</c:v>
                </c:pt>
                <c:pt idx="5">
                  <c:v>111.098</c:v>
                </c:pt>
                <c:pt idx="6">
                  <c:v>168.40600000000001</c:v>
                </c:pt>
                <c:pt idx="7">
                  <c:v>185.90899999999999</c:v>
                </c:pt>
                <c:pt idx="8">
                  <c:v>167.06300000000002</c:v>
                </c:pt>
                <c:pt idx="9">
                  <c:v>178.15600000000001</c:v>
                </c:pt>
                <c:pt idx="10">
                  <c:v>148.85899999999998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country'!$C$80:$M$80</c:f>
              <c:numCache>
                <c:formatCode>#,##0</c:formatCode>
                <c:ptCount val="11"/>
                <c:pt idx="0">
                  <c:v>316.392</c:v>
                </c:pt>
                <c:pt idx="1">
                  <c:v>233.22</c:v>
                </c:pt>
                <c:pt idx="2">
                  <c:v>136.321</c:v>
                </c:pt>
                <c:pt idx="3">
                  <c:v>100.10900000000001</c:v>
                </c:pt>
                <c:pt idx="4">
                  <c:v>106.274</c:v>
                </c:pt>
                <c:pt idx="5">
                  <c:v>91.842999999999989</c:v>
                </c:pt>
                <c:pt idx="6">
                  <c:v>138.32400000000001</c:v>
                </c:pt>
                <c:pt idx="7">
                  <c:v>115.71700000000001</c:v>
                </c:pt>
                <c:pt idx="8">
                  <c:v>148.548</c:v>
                </c:pt>
                <c:pt idx="9">
                  <c:v>132.68099999999998</c:v>
                </c:pt>
                <c:pt idx="10">
                  <c:v>156.91300000000001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7696512"/>
        <c:axId val="217698688"/>
      </c:barChart>
      <c:catAx>
        <c:axId val="217696512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17698688"/>
        <c:crosses val="autoZero"/>
        <c:auto val="1"/>
        <c:lblAlgn val="ctr"/>
        <c:lblOffset val="100"/>
        <c:noMultiLvlLbl val="0"/>
      </c:catAx>
      <c:valAx>
        <c:axId val="2176986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176965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2480817161"/>
          <c:y val="8.7658718974384944E-2"/>
          <c:w val="0.5843087386052862"/>
          <c:h val="0.8157409560317732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'Section 11 data country'!$B$67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country'!$C$67:$M$67</c:f>
              <c:numCache>
                <c:formatCode>#,##0</c:formatCode>
                <c:ptCount val="11"/>
                <c:pt idx="0">
                  <c:v>154.083</c:v>
                </c:pt>
                <c:pt idx="1">
                  <c:v>168.14400000000001</c:v>
                </c:pt>
                <c:pt idx="2">
                  <c:v>61.283000000000001</c:v>
                </c:pt>
                <c:pt idx="3">
                  <c:v>94.674999999999997</c:v>
                </c:pt>
                <c:pt idx="4">
                  <c:v>42.433999999999997</c:v>
                </c:pt>
                <c:pt idx="5">
                  <c:v>47.077999999999996</c:v>
                </c:pt>
                <c:pt idx="6">
                  <c:v>74.31</c:v>
                </c:pt>
                <c:pt idx="7">
                  <c:v>103.61099999999999</c:v>
                </c:pt>
                <c:pt idx="8">
                  <c:v>56.56</c:v>
                </c:pt>
                <c:pt idx="9">
                  <c:v>64.418999999999997</c:v>
                </c:pt>
                <c:pt idx="10">
                  <c:v>69.632999999999996</c:v>
                </c:pt>
              </c:numCache>
            </c:numRef>
          </c:val>
        </c:ser>
        <c:ser>
          <c:idx val="1"/>
          <c:order val="1"/>
          <c:tx>
            <c:strRef>
              <c:f>'Section 11 data country'!$B$68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country'!$C$68:$M$68</c:f>
              <c:numCache>
                <c:formatCode>#,##0</c:formatCode>
                <c:ptCount val="11"/>
                <c:pt idx="0">
                  <c:v>77.837000000000003</c:v>
                </c:pt>
                <c:pt idx="1">
                  <c:v>72.792999999999992</c:v>
                </c:pt>
                <c:pt idx="2">
                  <c:v>19.417749999999998</c:v>
                </c:pt>
                <c:pt idx="3">
                  <c:v>56.024000000000001</c:v>
                </c:pt>
                <c:pt idx="4">
                  <c:v>58.331999999999994</c:v>
                </c:pt>
                <c:pt idx="5">
                  <c:v>85.214999999999989</c:v>
                </c:pt>
                <c:pt idx="6">
                  <c:v>93.89500000000001</c:v>
                </c:pt>
                <c:pt idx="7">
                  <c:v>65.198999999999998</c:v>
                </c:pt>
                <c:pt idx="8">
                  <c:v>63.68</c:v>
                </c:pt>
                <c:pt idx="9">
                  <c:v>73.151999999999987</c:v>
                </c:pt>
                <c:pt idx="10">
                  <c:v>94.02</c:v>
                </c:pt>
              </c:numCache>
            </c:numRef>
          </c:val>
        </c:ser>
        <c:ser>
          <c:idx val="2"/>
          <c:order val="2"/>
          <c:tx>
            <c:strRef>
              <c:f>'Section 11 data country'!$B$69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country'!$C$69:$M$69</c:f>
              <c:numCache>
                <c:formatCode>#,##0</c:formatCode>
                <c:ptCount val="11"/>
                <c:pt idx="0">
                  <c:v>152.55099999999999</c:v>
                </c:pt>
                <c:pt idx="1">
                  <c:v>119.175</c:v>
                </c:pt>
                <c:pt idx="2">
                  <c:v>97.507000000000005</c:v>
                </c:pt>
                <c:pt idx="3">
                  <c:v>49.859000000000002</c:v>
                </c:pt>
                <c:pt idx="4">
                  <c:v>111.74000000000001</c:v>
                </c:pt>
                <c:pt idx="5">
                  <c:v>68.575000000000003</c:v>
                </c:pt>
                <c:pt idx="6">
                  <c:v>76.874000000000009</c:v>
                </c:pt>
                <c:pt idx="7">
                  <c:v>75.61099999999999</c:v>
                </c:pt>
                <c:pt idx="8">
                  <c:v>72.819000000000003</c:v>
                </c:pt>
                <c:pt idx="9">
                  <c:v>80.096999999999994</c:v>
                </c:pt>
                <c:pt idx="10">
                  <c:v>103.14399999999999</c:v>
                </c:pt>
              </c:numCache>
            </c:numRef>
          </c:val>
        </c:ser>
        <c:ser>
          <c:idx val="3"/>
          <c:order val="3"/>
          <c:tx>
            <c:strRef>
              <c:f>'Section 11 data country'!$B$70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country'!$C$70:$M$70</c:f>
              <c:numCache>
                <c:formatCode>#,##0</c:formatCode>
                <c:ptCount val="11"/>
                <c:pt idx="0">
                  <c:v>148.81800000000001</c:v>
                </c:pt>
                <c:pt idx="1">
                  <c:v>111.914</c:v>
                </c:pt>
                <c:pt idx="2">
                  <c:v>78.301000000000002</c:v>
                </c:pt>
                <c:pt idx="3">
                  <c:v>81.638999999999996</c:v>
                </c:pt>
                <c:pt idx="4">
                  <c:v>64.478000000000009</c:v>
                </c:pt>
                <c:pt idx="5">
                  <c:v>34.06</c:v>
                </c:pt>
                <c:pt idx="6">
                  <c:v>62.239999999999995</c:v>
                </c:pt>
                <c:pt idx="7">
                  <c:v>71.131</c:v>
                </c:pt>
                <c:pt idx="8">
                  <c:v>55.271000000000001</c:v>
                </c:pt>
                <c:pt idx="9">
                  <c:v>63.895000000000003</c:v>
                </c:pt>
                <c:pt idx="10">
                  <c:v>68.736999999999995</c:v>
                </c:pt>
              </c:numCache>
            </c:numRef>
          </c:val>
        </c:ser>
        <c:ser>
          <c:idx val="4"/>
          <c:order val="4"/>
          <c:tx>
            <c:strRef>
              <c:f>'Section 11 data country'!$B$71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country'!$C$71:$M$71</c:f>
              <c:numCache>
                <c:formatCode>#,##0</c:formatCode>
                <c:ptCount val="11"/>
                <c:pt idx="0">
                  <c:v>240.24800000000002</c:v>
                </c:pt>
                <c:pt idx="1">
                  <c:v>116.09699999999999</c:v>
                </c:pt>
                <c:pt idx="2">
                  <c:v>26.32</c:v>
                </c:pt>
                <c:pt idx="3">
                  <c:v>43.794999999999995</c:v>
                </c:pt>
                <c:pt idx="4">
                  <c:v>35.230999999999995</c:v>
                </c:pt>
                <c:pt idx="5">
                  <c:v>36.629000000000005</c:v>
                </c:pt>
                <c:pt idx="6">
                  <c:v>37.207000000000001</c:v>
                </c:pt>
                <c:pt idx="7">
                  <c:v>50.072000000000003</c:v>
                </c:pt>
                <c:pt idx="8">
                  <c:v>60.500999999999998</c:v>
                </c:pt>
                <c:pt idx="9">
                  <c:v>64.99799999999999</c:v>
                </c:pt>
                <c:pt idx="10">
                  <c:v>78.472999999999999</c:v>
                </c:pt>
              </c:numCache>
            </c:numRef>
          </c:val>
        </c:ser>
        <c:ser>
          <c:idx val="5"/>
          <c:order val="5"/>
          <c:tx>
            <c:strRef>
              <c:f>'Section 11 data country'!$B$72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country'!$C$72:$M$72</c:f>
              <c:numCache>
                <c:formatCode>#,##0</c:formatCode>
                <c:ptCount val="11"/>
                <c:pt idx="0">
                  <c:v>63.679000000000002</c:v>
                </c:pt>
                <c:pt idx="1">
                  <c:v>48.600999999999999</c:v>
                </c:pt>
                <c:pt idx="2">
                  <c:v>21.241</c:v>
                </c:pt>
                <c:pt idx="3">
                  <c:v>20.470000000000002</c:v>
                </c:pt>
                <c:pt idx="4">
                  <c:v>17.227999999999998</c:v>
                </c:pt>
                <c:pt idx="5">
                  <c:v>27.87</c:v>
                </c:pt>
                <c:pt idx="6">
                  <c:v>22.673999999999999</c:v>
                </c:pt>
                <c:pt idx="7">
                  <c:v>22.911000000000001</c:v>
                </c:pt>
                <c:pt idx="8">
                  <c:v>49.941000000000003</c:v>
                </c:pt>
                <c:pt idx="9">
                  <c:v>22.327999999999999</c:v>
                </c:pt>
                <c:pt idx="10">
                  <c:v>26.382999999999999</c:v>
                </c:pt>
              </c:numCache>
            </c:numRef>
          </c:val>
        </c:ser>
        <c:ser>
          <c:idx val="6"/>
          <c:order val="6"/>
          <c:tx>
            <c:strRef>
              <c:f>'Section 11 data country'!$B$73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country'!$C$73:$M$73</c:f>
              <c:numCache>
                <c:formatCode>#,##0</c:formatCode>
                <c:ptCount val="11"/>
                <c:pt idx="0">
                  <c:v>176.208</c:v>
                </c:pt>
                <c:pt idx="1">
                  <c:v>182.85500000000002</c:v>
                </c:pt>
                <c:pt idx="2">
                  <c:v>155.125</c:v>
                </c:pt>
                <c:pt idx="3">
                  <c:v>139.053</c:v>
                </c:pt>
                <c:pt idx="4">
                  <c:v>113.339</c:v>
                </c:pt>
                <c:pt idx="5">
                  <c:v>105.842</c:v>
                </c:pt>
                <c:pt idx="6">
                  <c:v>128.208</c:v>
                </c:pt>
                <c:pt idx="7">
                  <c:v>121.752</c:v>
                </c:pt>
                <c:pt idx="8">
                  <c:v>210.87</c:v>
                </c:pt>
                <c:pt idx="9">
                  <c:v>133.04599999999999</c:v>
                </c:pt>
                <c:pt idx="10">
                  <c:v>190.66899999999998</c:v>
                </c:pt>
              </c:numCache>
            </c:numRef>
          </c:val>
        </c:ser>
        <c:ser>
          <c:idx val="7"/>
          <c:order val="7"/>
          <c:tx>
            <c:strRef>
              <c:f>'Section 11 data country'!$B$74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country'!$C$74:$M$74</c:f>
              <c:numCache>
                <c:formatCode>#,##0</c:formatCode>
                <c:ptCount val="11"/>
                <c:pt idx="0">
                  <c:v>175.05800000000002</c:v>
                </c:pt>
                <c:pt idx="1">
                  <c:v>107.04600000000001</c:v>
                </c:pt>
                <c:pt idx="2">
                  <c:v>62.151000000000003</c:v>
                </c:pt>
                <c:pt idx="3">
                  <c:v>35.811</c:v>
                </c:pt>
                <c:pt idx="4">
                  <c:v>42.633000000000003</c:v>
                </c:pt>
                <c:pt idx="5">
                  <c:v>60.931000000000004</c:v>
                </c:pt>
                <c:pt idx="6">
                  <c:v>72.474999999999994</c:v>
                </c:pt>
                <c:pt idx="7">
                  <c:v>54.252000000000002</c:v>
                </c:pt>
                <c:pt idx="8">
                  <c:v>76.914999999999992</c:v>
                </c:pt>
                <c:pt idx="9">
                  <c:v>57.101999999999997</c:v>
                </c:pt>
                <c:pt idx="10">
                  <c:v>75.316000000000003</c:v>
                </c:pt>
              </c:numCache>
            </c:numRef>
          </c:val>
        </c:ser>
        <c:ser>
          <c:idx val="8"/>
          <c:order val="8"/>
          <c:tx>
            <c:strRef>
              <c:f>'Section 11 data country'!$B$75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country'!$C$75:$M$75</c:f>
              <c:numCache>
                <c:formatCode>#,##0</c:formatCode>
                <c:ptCount val="11"/>
                <c:pt idx="0">
                  <c:v>111.84400000000001</c:v>
                </c:pt>
                <c:pt idx="1">
                  <c:v>84.491</c:v>
                </c:pt>
                <c:pt idx="2">
                  <c:v>50.261000000000003</c:v>
                </c:pt>
                <c:pt idx="3">
                  <c:v>58.841000000000001</c:v>
                </c:pt>
                <c:pt idx="4">
                  <c:v>47.954999999999998</c:v>
                </c:pt>
                <c:pt idx="5">
                  <c:v>34.286999999999999</c:v>
                </c:pt>
                <c:pt idx="6">
                  <c:v>78.381</c:v>
                </c:pt>
                <c:pt idx="7">
                  <c:v>53.346000000000004</c:v>
                </c:pt>
                <c:pt idx="8">
                  <c:v>54.328000000000003</c:v>
                </c:pt>
                <c:pt idx="9">
                  <c:v>63.594999999999999</c:v>
                </c:pt>
                <c:pt idx="10">
                  <c:v>76.304999999999993</c:v>
                </c:pt>
              </c:numCache>
            </c:numRef>
          </c:val>
        </c:ser>
        <c:ser>
          <c:idx val="9"/>
          <c:order val="9"/>
          <c:tx>
            <c:strRef>
              <c:f>'Section 11 data country'!$B$76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country'!$C$76:$M$76</c:f>
              <c:numCache>
                <c:formatCode>#,##0</c:formatCode>
                <c:ptCount val="11"/>
                <c:pt idx="0">
                  <c:v>243.07000000000002</c:v>
                </c:pt>
                <c:pt idx="1">
                  <c:v>211.977</c:v>
                </c:pt>
                <c:pt idx="2">
                  <c:v>111.328</c:v>
                </c:pt>
                <c:pt idx="3">
                  <c:v>85.653999999999996</c:v>
                </c:pt>
                <c:pt idx="4">
                  <c:v>106.614</c:v>
                </c:pt>
                <c:pt idx="5">
                  <c:v>137.148</c:v>
                </c:pt>
                <c:pt idx="6">
                  <c:v>161.286</c:v>
                </c:pt>
                <c:pt idx="7">
                  <c:v>122.19200000000001</c:v>
                </c:pt>
                <c:pt idx="8">
                  <c:v>145.25</c:v>
                </c:pt>
                <c:pt idx="9">
                  <c:v>173.04600000000002</c:v>
                </c:pt>
                <c:pt idx="10">
                  <c:v>128.34299999999999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country'!$B$77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country'!$C$77:$M$77</c:f>
              <c:numCache>
                <c:formatCode>#,##0</c:formatCode>
                <c:ptCount val="11"/>
                <c:pt idx="0">
                  <c:v>272.59500000000003</c:v>
                </c:pt>
                <c:pt idx="1">
                  <c:v>253.524</c:v>
                </c:pt>
                <c:pt idx="2">
                  <c:v>137.01000000000002</c:v>
                </c:pt>
                <c:pt idx="3">
                  <c:v>158.29599999999999</c:v>
                </c:pt>
                <c:pt idx="4">
                  <c:v>101.146</c:v>
                </c:pt>
                <c:pt idx="5">
                  <c:v>106.694</c:v>
                </c:pt>
                <c:pt idx="6">
                  <c:v>142.38</c:v>
                </c:pt>
                <c:pt idx="7">
                  <c:v>175.79900000000001</c:v>
                </c:pt>
                <c:pt idx="8">
                  <c:v>148.55700000000002</c:v>
                </c:pt>
                <c:pt idx="9">
                  <c:v>157.916</c:v>
                </c:pt>
                <c:pt idx="10">
                  <c:v>146.797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country'!$B$78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country'!$C$78:$M$78</c:f>
              <c:numCache>
                <c:formatCode>#,##0</c:formatCode>
                <c:ptCount val="11"/>
                <c:pt idx="0">
                  <c:v>168.03399999999999</c:v>
                </c:pt>
                <c:pt idx="1">
                  <c:v>181.57900000000001</c:v>
                </c:pt>
                <c:pt idx="2">
                  <c:v>76.905000000000001</c:v>
                </c:pt>
                <c:pt idx="3">
                  <c:v>55.585999999999999</c:v>
                </c:pt>
                <c:pt idx="4">
                  <c:v>84.93</c:v>
                </c:pt>
                <c:pt idx="5">
                  <c:v>73.534000000000006</c:v>
                </c:pt>
                <c:pt idx="6">
                  <c:v>107.80600000000001</c:v>
                </c:pt>
                <c:pt idx="7">
                  <c:v>78.442999999999998</c:v>
                </c:pt>
                <c:pt idx="8">
                  <c:v>89.600999999999999</c:v>
                </c:pt>
                <c:pt idx="9">
                  <c:v>96.02600000000001</c:v>
                </c:pt>
                <c:pt idx="10">
                  <c:v>93.924999999999997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country'!$B$79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country'!$C$79:$M$79</c:f>
              <c:numCache>
                <c:formatCode>#,##0</c:formatCode>
                <c:ptCount val="11"/>
                <c:pt idx="0">
                  <c:v>382.39499999999998</c:v>
                </c:pt>
                <c:pt idx="1">
                  <c:v>341.75</c:v>
                </c:pt>
                <c:pt idx="2">
                  <c:v>214.59399999999999</c:v>
                </c:pt>
                <c:pt idx="3">
                  <c:v>194.14599999999999</c:v>
                </c:pt>
                <c:pt idx="4">
                  <c:v>163.80799999999999</c:v>
                </c:pt>
                <c:pt idx="5">
                  <c:v>111.098</c:v>
                </c:pt>
                <c:pt idx="6">
                  <c:v>168.40600000000001</c:v>
                </c:pt>
                <c:pt idx="7">
                  <c:v>185.90899999999999</c:v>
                </c:pt>
                <c:pt idx="8">
                  <c:v>167.06300000000002</c:v>
                </c:pt>
                <c:pt idx="9">
                  <c:v>178.15600000000001</c:v>
                </c:pt>
                <c:pt idx="10">
                  <c:v>148.85899999999998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country'!$B$80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country'!$C$63:$M$63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country'!$C$80:$M$80</c:f>
              <c:numCache>
                <c:formatCode>#,##0</c:formatCode>
                <c:ptCount val="11"/>
                <c:pt idx="0">
                  <c:v>316.392</c:v>
                </c:pt>
                <c:pt idx="1">
                  <c:v>233.22</c:v>
                </c:pt>
                <c:pt idx="2">
                  <c:v>136.321</c:v>
                </c:pt>
                <c:pt idx="3">
                  <c:v>100.10900000000001</c:v>
                </c:pt>
                <c:pt idx="4">
                  <c:v>106.274</c:v>
                </c:pt>
                <c:pt idx="5">
                  <c:v>91.842999999999989</c:v>
                </c:pt>
                <c:pt idx="6">
                  <c:v>138.32400000000001</c:v>
                </c:pt>
                <c:pt idx="7">
                  <c:v>115.71700000000001</c:v>
                </c:pt>
                <c:pt idx="8">
                  <c:v>148.548</c:v>
                </c:pt>
                <c:pt idx="9">
                  <c:v>132.68099999999998</c:v>
                </c:pt>
                <c:pt idx="10">
                  <c:v>156.91300000000001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2471040"/>
        <c:axId val="192472960"/>
      </c:barChart>
      <c:catAx>
        <c:axId val="19247104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2472960"/>
        <c:crosses val="autoZero"/>
        <c:auto val="1"/>
        <c:lblAlgn val="ctr"/>
        <c:lblOffset val="100"/>
        <c:noMultiLvlLbl val="0"/>
      </c:catAx>
      <c:valAx>
        <c:axId val="192472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2471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721993385796734"/>
          <c:y val="5.8207786546959607E-2"/>
          <c:w val="0.27459608509278188"/>
          <c:h val="0.8794095052320886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hardwood forecast showing contribution by Aligned Area (FC)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11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country'!$C$7:$M$7</c:f>
              <c:numCache>
                <c:formatCode>#,##0</c:formatCode>
                <c:ptCount val="11"/>
                <c:pt idx="0">
                  <c:v>0.20200000000000001</c:v>
                </c:pt>
                <c:pt idx="1">
                  <c:v>0.30599999999999999</c:v>
                </c:pt>
                <c:pt idx="2">
                  <c:v>0.27700000000000002</c:v>
                </c:pt>
                <c:pt idx="3">
                  <c:v>0.17199999999999999</c:v>
                </c:pt>
                <c:pt idx="4">
                  <c:v>0.44</c:v>
                </c:pt>
                <c:pt idx="5">
                  <c:v>0.89700000000000002</c:v>
                </c:pt>
                <c:pt idx="6">
                  <c:v>7.2649999999999997</c:v>
                </c:pt>
                <c:pt idx="7">
                  <c:v>1.4870000000000001</c:v>
                </c:pt>
                <c:pt idx="8">
                  <c:v>2.597</c:v>
                </c:pt>
                <c:pt idx="9">
                  <c:v>2.7480000000000002</c:v>
                </c:pt>
                <c:pt idx="10">
                  <c:v>2.488</c:v>
                </c:pt>
              </c:numCache>
            </c:numRef>
          </c:val>
        </c:ser>
        <c:ser>
          <c:idx val="1"/>
          <c:order val="1"/>
          <c:tx>
            <c:strRef>
              <c:f>'Section 11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country'!$C$8:$M$8</c:f>
              <c:numCache>
                <c:formatCode>#,##0</c:formatCode>
                <c:ptCount val="11"/>
                <c:pt idx="0">
                  <c:v>1.1779999999999999</c:v>
                </c:pt>
                <c:pt idx="1">
                  <c:v>1.0680000000000001</c:v>
                </c:pt>
                <c:pt idx="2">
                  <c:v>2.0339999999999998</c:v>
                </c:pt>
                <c:pt idx="3">
                  <c:v>1.58</c:v>
                </c:pt>
                <c:pt idx="4">
                  <c:v>3.5289999999999999</c:v>
                </c:pt>
                <c:pt idx="5">
                  <c:v>3.3650000000000002</c:v>
                </c:pt>
                <c:pt idx="6">
                  <c:v>3.62</c:v>
                </c:pt>
                <c:pt idx="7">
                  <c:v>3.8079999999999998</c:v>
                </c:pt>
                <c:pt idx="8">
                  <c:v>3.7189999999999999</c:v>
                </c:pt>
                <c:pt idx="9">
                  <c:v>6.8019999999999996</c:v>
                </c:pt>
                <c:pt idx="10">
                  <c:v>12.641999999999999</c:v>
                </c:pt>
              </c:numCache>
            </c:numRef>
          </c:val>
        </c:ser>
        <c:ser>
          <c:idx val="2"/>
          <c:order val="2"/>
          <c:tx>
            <c:strRef>
              <c:f>'Section 11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country'!$C$9:$M$9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</c:ser>
        <c:ser>
          <c:idx val="3"/>
          <c:order val="3"/>
          <c:tx>
            <c:strRef>
              <c:f>'Section 11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country'!$C$10:$M$10</c:f>
              <c:numCache>
                <c:formatCode>#,##0</c:formatCode>
                <c:ptCount val="11"/>
                <c:pt idx="0">
                  <c:v>0.95499999999999996</c:v>
                </c:pt>
                <c:pt idx="1">
                  <c:v>2.7959999999999998</c:v>
                </c:pt>
                <c:pt idx="2">
                  <c:v>1.861</c:v>
                </c:pt>
                <c:pt idx="3">
                  <c:v>4.6989999999999998</c:v>
                </c:pt>
                <c:pt idx="4">
                  <c:v>5.8689999999999998</c:v>
                </c:pt>
                <c:pt idx="5">
                  <c:v>4.4809999999999999</c:v>
                </c:pt>
                <c:pt idx="6">
                  <c:v>8.7420000000000009</c:v>
                </c:pt>
                <c:pt idx="7">
                  <c:v>4.8159999999999998</c:v>
                </c:pt>
                <c:pt idx="8">
                  <c:v>8.8049999999999997</c:v>
                </c:pt>
                <c:pt idx="9">
                  <c:v>5.0659999999999998</c:v>
                </c:pt>
                <c:pt idx="10">
                  <c:v>5.4279999999999999</c:v>
                </c:pt>
              </c:numCache>
            </c:numRef>
          </c:val>
        </c:ser>
        <c:ser>
          <c:idx val="4"/>
          <c:order val="4"/>
          <c:tx>
            <c:strRef>
              <c:f>'Section 11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country'!$C$11:$M$11</c:f>
              <c:numCache>
                <c:formatCode>#,##0</c:formatCode>
                <c:ptCount val="11"/>
                <c:pt idx="0">
                  <c:v>0.19800000000000001</c:v>
                </c:pt>
                <c:pt idx="1">
                  <c:v>0.28799999999999998</c:v>
                </c:pt>
                <c:pt idx="2">
                  <c:v>0.24199999999999999</c:v>
                </c:pt>
                <c:pt idx="3">
                  <c:v>0.29399999999999998</c:v>
                </c:pt>
                <c:pt idx="4">
                  <c:v>0.61699999999999999</c:v>
                </c:pt>
                <c:pt idx="5">
                  <c:v>0.627</c:v>
                </c:pt>
                <c:pt idx="6">
                  <c:v>0.51800000000000002</c:v>
                </c:pt>
                <c:pt idx="7">
                  <c:v>0.32500000000000001</c:v>
                </c:pt>
                <c:pt idx="8">
                  <c:v>1.038</c:v>
                </c:pt>
                <c:pt idx="9">
                  <c:v>0.17499999999999999</c:v>
                </c:pt>
                <c:pt idx="10">
                  <c:v>0.35399999999999998</c:v>
                </c:pt>
              </c:numCache>
            </c:numRef>
          </c:val>
        </c:ser>
        <c:ser>
          <c:idx val="5"/>
          <c:order val="5"/>
          <c:tx>
            <c:strRef>
              <c:f>'Section 11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country'!$C$12:$M$12</c:f>
              <c:numCache>
                <c:formatCode>#,##0</c:formatCode>
                <c:ptCount val="11"/>
                <c:pt idx="0">
                  <c:v>0.13</c:v>
                </c:pt>
                <c:pt idx="1">
                  <c:v>0.06</c:v>
                </c:pt>
                <c:pt idx="2">
                  <c:v>0.129</c:v>
                </c:pt>
                <c:pt idx="3">
                  <c:v>0.17799999999999999</c:v>
                </c:pt>
                <c:pt idx="4">
                  <c:v>0.16500000000000001</c:v>
                </c:pt>
                <c:pt idx="5">
                  <c:v>9.8689999999999998</c:v>
                </c:pt>
                <c:pt idx="6">
                  <c:v>0.40400000000000003</c:v>
                </c:pt>
                <c:pt idx="7">
                  <c:v>0.28499999999999998</c:v>
                </c:pt>
                <c:pt idx="8">
                  <c:v>0.73499999999999999</c:v>
                </c:pt>
                <c:pt idx="9">
                  <c:v>0.68899999999999995</c:v>
                </c:pt>
                <c:pt idx="10">
                  <c:v>0.84</c:v>
                </c:pt>
              </c:numCache>
            </c:numRef>
          </c:val>
        </c:ser>
        <c:ser>
          <c:idx val="6"/>
          <c:order val="6"/>
          <c:tx>
            <c:strRef>
              <c:f>'Section 11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country'!$C$13:$M$13</c:f>
              <c:numCache>
                <c:formatCode>#,##0</c:formatCode>
                <c:ptCount val="11"/>
                <c:pt idx="0">
                  <c:v>0.82199999999999995</c:v>
                </c:pt>
                <c:pt idx="1">
                  <c:v>1.175</c:v>
                </c:pt>
                <c:pt idx="2">
                  <c:v>1.6879999999999999</c:v>
                </c:pt>
                <c:pt idx="3">
                  <c:v>6.3440000000000003</c:v>
                </c:pt>
                <c:pt idx="4">
                  <c:v>3.371</c:v>
                </c:pt>
                <c:pt idx="5">
                  <c:v>6.585</c:v>
                </c:pt>
                <c:pt idx="6">
                  <c:v>5.7949999999999999</c:v>
                </c:pt>
                <c:pt idx="7">
                  <c:v>7.8540000000000001</c:v>
                </c:pt>
                <c:pt idx="8">
                  <c:v>4.4390000000000001</c:v>
                </c:pt>
                <c:pt idx="9">
                  <c:v>17.875</c:v>
                </c:pt>
                <c:pt idx="10">
                  <c:v>4.6109999999999998</c:v>
                </c:pt>
              </c:numCache>
            </c:numRef>
          </c:val>
        </c:ser>
        <c:ser>
          <c:idx val="7"/>
          <c:order val="7"/>
          <c:tx>
            <c:strRef>
              <c:f>'Section 11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country'!$C$14:$M$14</c:f>
              <c:numCache>
                <c:formatCode>#,##0</c:formatCode>
                <c:ptCount val="11"/>
                <c:pt idx="0">
                  <c:v>1.175</c:v>
                </c:pt>
                <c:pt idx="1">
                  <c:v>1.6879999999999999</c:v>
                </c:pt>
                <c:pt idx="2">
                  <c:v>6.3440000000000003</c:v>
                </c:pt>
                <c:pt idx="3">
                  <c:v>3.371</c:v>
                </c:pt>
                <c:pt idx="4">
                  <c:v>6.585</c:v>
                </c:pt>
                <c:pt idx="5">
                  <c:v>5.7949999999999999</c:v>
                </c:pt>
                <c:pt idx="6">
                  <c:v>7.8540000000000001</c:v>
                </c:pt>
                <c:pt idx="7">
                  <c:v>4.4390000000000001</c:v>
                </c:pt>
                <c:pt idx="8">
                  <c:v>17.875</c:v>
                </c:pt>
                <c:pt idx="9">
                  <c:v>4.6109999999999998</c:v>
                </c:pt>
                <c:pt idx="10">
                  <c:v>12.366</c:v>
                </c:pt>
              </c:numCache>
            </c:numRef>
          </c:val>
        </c:ser>
        <c:ser>
          <c:idx val="8"/>
          <c:order val="8"/>
          <c:tx>
            <c:strRef>
              <c:f>'Section 11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country'!$C$15:$M$15</c:f>
              <c:numCache>
                <c:formatCode>#,##0</c:formatCode>
                <c:ptCount val="11"/>
                <c:pt idx="0">
                  <c:v>10.935</c:v>
                </c:pt>
                <c:pt idx="1">
                  <c:v>4.5830000000000002</c:v>
                </c:pt>
                <c:pt idx="2">
                  <c:v>11.222</c:v>
                </c:pt>
                <c:pt idx="3">
                  <c:v>8.0039999999999996</c:v>
                </c:pt>
                <c:pt idx="4">
                  <c:v>12.305</c:v>
                </c:pt>
                <c:pt idx="5">
                  <c:v>9.9849999999999994</c:v>
                </c:pt>
                <c:pt idx="6">
                  <c:v>34.292000000000002</c:v>
                </c:pt>
                <c:pt idx="7">
                  <c:v>13.627000000000001</c:v>
                </c:pt>
                <c:pt idx="8">
                  <c:v>15.933</c:v>
                </c:pt>
                <c:pt idx="9">
                  <c:v>16.239000000000001</c:v>
                </c:pt>
                <c:pt idx="10">
                  <c:v>22.648</c:v>
                </c:pt>
              </c:numCache>
            </c:numRef>
          </c:val>
        </c:ser>
        <c:ser>
          <c:idx val="9"/>
          <c:order val="9"/>
          <c:tx>
            <c:strRef>
              <c:f>'Section 11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country'!$C$16:$M$16</c:f>
              <c:numCache>
                <c:formatCode>#,##0</c:formatCode>
                <c:ptCount val="11"/>
                <c:pt idx="0">
                  <c:v>7.4480000000000004</c:v>
                </c:pt>
                <c:pt idx="1">
                  <c:v>4.7160000000000002</c:v>
                </c:pt>
                <c:pt idx="2">
                  <c:v>8.7769999999999992</c:v>
                </c:pt>
                <c:pt idx="3">
                  <c:v>15.696</c:v>
                </c:pt>
                <c:pt idx="4">
                  <c:v>17.774999999999999</c:v>
                </c:pt>
                <c:pt idx="5">
                  <c:v>46.031999999999996</c:v>
                </c:pt>
                <c:pt idx="6">
                  <c:v>43.795000000000002</c:v>
                </c:pt>
                <c:pt idx="7">
                  <c:v>33.500999999999998</c:v>
                </c:pt>
                <c:pt idx="8">
                  <c:v>27.170999999999999</c:v>
                </c:pt>
                <c:pt idx="9">
                  <c:v>43.365000000000002</c:v>
                </c:pt>
                <c:pt idx="10">
                  <c:v>30.393999999999998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country'!$C$17:$M$17</c:f>
              <c:numCache>
                <c:formatCode>#,##0</c:formatCode>
                <c:ptCount val="11"/>
                <c:pt idx="0">
                  <c:v>0.53100000000000003</c:v>
                </c:pt>
                <c:pt idx="1">
                  <c:v>0.35399999999999998</c:v>
                </c:pt>
                <c:pt idx="2">
                  <c:v>0.51900000000000002</c:v>
                </c:pt>
                <c:pt idx="3">
                  <c:v>0.58699999999999997</c:v>
                </c:pt>
                <c:pt idx="4">
                  <c:v>1.6679999999999999</c:v>
                </c:pt>
                <c:pt idx="5">
                  <c:v>16.125</c:v>
                </c:pt>
                <c:pt idx="6">
                  <c:v>6.2009999999999996</c:v>
                </c:pt>
                <c:pt idx="7">
                  <c:v>1.621</c:v>
                </c:pt>
                <c:pt idx="8">
                  <c:v>5.1280000000000001</c:v>
                </c:pt>
                <c:pt idx="9">
                  <c:v>2.6720000000000002</c:v>
                </c:pt>
                <c:pt idx="10">
                  <c:v>6.3620000000000001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country'!$C$18:$M$18</c:f>
              <c:numCache>
                <c:formatCode>#,##0</c:formatCode>
                <c:ptCount val="11"/>
                <c:pt idx="0">
                  <c:v>19.036000000000001</c:v>
                </c:pt>
                <c:pt idx="1">
                  <c:v>5.9370000000000003</c:v>
                </c:pt>
                <c:pt idx="2">
                  <c:v>15.96</c:v>
                </c:pt>
                <c:pt idx="3">
                  <c:v>8.5139999999999993</c:v>
                </c:pt>
                <c:pt idx="4">
                  <c:v>18.622</c:v>
                </c:pt>
                <c:pt idx="5">
                  <c:v>10.87</c:v>
                </c:pt>
                <c:pt idx="6">
                  <c:v>23.564</c:v>
                </c:pt>
                <c:pt idx="7">
                  <c:v>15.847</c:v>
                </c:pt>
                <c:pt idx="8">
                  <c:v>19.018000000000001</c:v>
                </c:pt>
                <c:pt idx="9">
                  <c:v>12.138</c:v>
                </c:pt>
                <c:pt idx="10">
                  <c:v>22.643000000000001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country'!$C$19:$M$19</c:f>
              <c:numCache>
                <c:formatCode>#,##0</c:formatCode>
                <c:ptCount val="11"/>
                <c:pt idx="0">
                  <c:v>23.013000000000002</c:v>
                </c:pt>
                <c:pt idx="1">
                  <c:v>15.759</c:v>
                </c:pt>
                <c:pt idx="2">
                  <c:v>29.61</c:v>
                </c:pt>
                <c:pt idx="3">
                  <c:v>18.113</c:v>
                </c:pt>
                <c:pt idx="4">
                  <c:v>18.414000000000001</c:v>
                </c:pt>
                <c:pt idx="5">
                  <c:v>18.056999999999999</c:v>
                </c:pt>
                <c:pt idx="6">
                  <c:v>45.112000000000002</c:v>
                </c:pt>
                <c:pt idx="7">
                  <c:v>28.303999999999998</c:v>
                </c:pt>
                <c:pt idx="8">
                  <c:v>28.565999999999999</c:v>
                </c:pt>
                <c:pt idx="9">
                  <c:v>29.603000000000002</c:v>
                </c:pt>
                <c:pt idx="10">
                  <c:v>36.796999999999997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country'!$C$20:$M$20</c:f>
              <c:numCache>
                <c:formatCode>#,##0</c:formatCode>
                <c:ptCount val="11"/>
                <c:pt idx="0">
                  <c:v>3.4529999999999998</c:v>
                </c:pt>
                <c:pt idx="1">
                  <c:v>3.085</c:v>
                </c:pt>
                <c:pt idx="2">
                  <c:v>4.0259999999999998</c:v>
                </c:pt>
                <c:pt idx="3">
                  <c:v>2.492</c:v>
                </c:pt>
                <c:pt idx="4">
                  <c:v>4.0460000000000003</c:v>
                </c:pt>
                <c:pt idx="5">
                  <c:v>3.82</c:v>
                </c:pt>
                <c:pt idx="6">
                  <c:v>4.96</c:v>
                </c:pt>
                <c:pt idx="7">
                  <c:v>4.1829999999999998</c:v>
                </c:pt>
                <c:pt idx="8">
                  <c:v>5.048</c:v>
                </c:pt>
                <c:pt idx="9">
                  <c:v>8.9589999999999996</c:v>
                </c:pt>
                <c:pt idx="10">
                  <c:v>5.1870000000000003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2577920"/>
        <c:axId val="192579840"/>
      </c:barChart>
      <c:catAx>
        <c:axId val="19257792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2579840"/>
        <c:crosses val="autoZero"/>
        <c:auto val="1"/>
        <c:lblAlgn val="ctr"/>
        <c:lblOffset val="100"/>
        <c:noMultiLvlLbl val="0"/>
      </c:catAx>
      <c:valAx>
        <c:axId val="192579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25779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11 data country'!$B$7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country'!$C$7:$M$7</c:f>
              <c:numCache>
                <c:formatCode>#,##0</c:formatCode>
                <c:ptCount val="11"/>
                <c:pt idx="0">
                  <c:v>0.20200000000000001</c:v>
                </c:pt>
                <c:pt idx="1">
                  <c:v>0.30599999999999999</c:v>
                </c:pt>
                <c:pt idx="2">
                  <c:v>0.27700000000000002</c:v>
                </c:pt>
                <c:pt idx="3">
                  <c:v>0.17199999999999999</c:v>
                </c:pt>
                <c:pt idx="4">
                  <c:v>0.44</c:v>
                </c:pt>
                <c:pt idx="5">
                  <c:v>0.89700000000000002</c:v>
                </c:pt>
                <c:pt idx="6">
                  <c:v>7.2649999999999997</c:v>
                </c:pt>
                <c:pt idx="7">
                  <c:v>1.4870000000000001</c:v>
                </c:pt>
                <c:pt idx="8">
                  <c:v>2.597</c:v>
                </c:pt>
                <c:pt idx="9">
                  <c:v>2.7480000000000002</c:v>
                </c:pt>
                <c:pt idx="10">
                  <c:v>2.488</c:v>
                </c:pt>
              </c:numCache>
            </c:numRef>
          </c:val>
        </c:ser>
        <c:ser>
          <c:idx val="1"/>
          <c:order val="1"/>
          <c:tx>
            <c:strRef>
              <c:f>'Section 11 data country'!$B$8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country'!$C$8:$M$8</c:f>
              <c:numCache>
                <c:formatCode>#,##0</c:formatCode>
                <c:ptCount val="11"/>
                <c:pt idx="0">
                  <c:v>1.1779999999999999</c:v>
                </c:pt>
                <c:pt idx="1">
                  <c:v>1.0680000000000001</c:v>
                </c:pt>
                <c:pt idx="2">
                  <c:v>2.0339999999999998</c:v>
                </c:pt>
                <c:pt idx="3">
                  <c:v>1.58</c:v>
                </c:pt>
                <c:pt idx="4">
                  <c:v>3.5289999999999999</c:v>
                </c:pt>
                <c:pt idx="5">
                  <c:v>3.3650000000000002</c:v>
                </c:pt>
                <c:pt idx="6">
                  <c:v>3.62</c:v>
                </c:pt>
                <c:pt idx="7">
                  <c:v>3.8079999999999998</c:v>
                </c:pt>
                <c:pt idx="8">
                  <c:v>3.7189999999999999</c:v>
                </c:pt>
                <c:pt idx="9">
                  <c:v>6.8019999999999996</c:v>
                </c:pt>
                <c:pt idx="10">
                  <c:v>12.641999999999999</c:v>
                </c:pt>
              </c:numCache>
            </c:numRef>
          </c:val>
        </c:ser>
        <c:ser>
          <c:idx val="2"/>
          <c:order val="2"/>
          <c:tx>
            <c:strRef>
              <c:f>'Section 11 data country'!$B$9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country'!$C$9:$M$9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</c:ser>
        <c:ser>
          <c:idx val="3"/>
          <c:order val="3"/>
          <c:tx>
            <c:strRef>
              <c:f>'Section 11 data country'!$B$10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country'!$C$10:$M$10</c:f>
              <c:numCache>
                <c:formatCode>#,##0</c:formatCode>
                <c:ptCount val="11"/>
                <c:pt idx="0">
                  <c:v>0.95499999999999996</c:v>
                </c:pt>
                <c:pt idx="1">
                  <c:v>2.7959999999999998</c:v>
                </c:pt>
                <c:pt idx="2">
                  <c:v>1.861</c:v>
                </c:pt>
                <c:pt idx="3">
                  <c:v>4.6989999999999998</c:v>
                </c:pt>
                <c:pt idx="4">
                  <c:v>5.8689999999999998</c:v>
                </c:pt>
                <c:pt idx="5">
                  <c:v>4.4809999999999999</c:v>
                </c:pt>
                <c:pt idx="6">
                  <c:v>8.7420000000000009</c:v>
                </c:pt>
                <c:pt idx="7">
                  <c:v>4.8159999999999998</c:v>
                </c:pt>
                <c:pt idx="8">
                  <c:v>8.8049999999999997</c:v>
                </c:pt>
                <c:pt idx="9">
                  <c:v>5.0659999999999998</c:v>
                </c:pt>
                <c:pt idx="10">
                  <c:v>5.4279999999999999</c:v>
                </c:pt>
              </c:numCache>
            </c:numRef>
          </c:val>
        </c:ser>
        <c:ser>
          <c:idx val="4"/>
          <c:order val="4"/>
          <c:tx>
            <c:strRef>
              <c:f>'Section 11 data country'!$B$11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country'!$C$11:$M$11</c:f>
              <c:numCache>
                <c:formatCode>#,##0</c:formatCode>
                <c:ptCount val="11"/>
                <c:pt idx="0">
                  <c:v>0.19800000000000001</c:v>
                </c:pt>
                <c:pt idx="1">
                  <c:v>0.28799999999999998</c:v>
                </c:pt>
                <c:pt idx="2">
                  <c:v>0.24199999999999999</c:v>
                </c:pt>
                <c:pt idx="3">
                  <c:v>0.29399999999999998</c:v>
                </c:pt>
                <c:pt idx="4">
                  <c:v>0.61699999999999999</c:v>
                </c:pt>
                <c:pt idx="5">
                  <c:v>0.627</c:v>
                </c:pt>
                <c:pt idx="6">
                  <c:v>0.51800000000000002</c:v>
                </c:pt>
                <c:pt idx="7">
                  <c:v>0.32500000000000001</c:v>
                </c:pt>
                <c:pt idx="8">
                  <c:v>1.038</c:v>
                </c:pt>
                <c:pt idx="9">
                  <c:v>0.17499999999999999</c:v>
                </c:pt>
                <c:pt idx="10">
                  <c:v>0.35399999999999998</c:v>
                </c:pt>
              </c:numCache>
            </c:numRef>
          </c:val>
        </c:ser>
        <c:ser>
          <c:idx val="5"/>
          <c:order val="5"/>
          <c:tx>
            <c:strRef>
              <c:f>'Section 11 data country'!$B$12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country'!$C$12:$M$12</c:f>
              <c:numCache>
                <c:formatCode>#,##0</c:formatCode>
                <c:ptCount val="11"/>
                <c:pt idx="0">
                  <c:v>0.13</c:v>
                </c:pt>
                <c:pt idx="1">
                  <c:v>0.06</c:v>
                </c:pt>
                <c:pt idx="2">
                  <c:v>0.129</c:v>
                </c:pt>
                <c:pt idx="3">
                  <c:v>0.17799999999999999</c:v>
                </c:pt>
                <c:pt idx="4">
                  <c:v>0.16500000000000001</c:v>
                </c:pt>
                <c:pt idx="5">
                  <c:v>9.8689999999999998</c:v>
                </c:pt>
                <c:pt idx="6">
                  <c:v>0.40400000000000003</c:v>
                </c:pt>
                <c:pt idx="7">
                  <c:v>0.28499999999999998</c:v>
                </c:pt>
                <c:pt idx="8">
                  <c:v>0.73499999999999999</c:v>
                </c:pt>
                <c:pt idx="9">
                  <c:v>0.68899999999999995</c:v>
                </c:pt>
                <c:pt idx="10">
                  <c:v>0.84</c:v>
                </c:pt>
              </c:numCache>
            </c:numRef>
          </c:val>
        </c:ser>
        <c:ser>
          <c:idx val="6"/>
          <c:order val="6"/>
          <c:tx>
            <c:strRef>
              <c:f>'Section 11 data country'!$B$13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country'!$C$13:$M$13</c:f>
              <c:numCache>
                <c:formatCode>#,##0</c:formatCode>
                <c:ptCount val="11"/>
                <c:pt idx="0">
                  <c:v>0.82199999999999995</c:v>
                </c:pt>
                <c:pt idx="1">
                  <c:v>1.175</c:v>
                </c:pt>
                <c:pt idx="2">
                  <c:v>1.6879999999999999</c:v>
                </c:pt>
                <c:pt idx="3">
                  <c:v>6.3440000000000003</c:v>
                </c:pt>
                <c:pt idx="4">
                  <c:v>3.371</c:v>
                </c:pt>
                <c:pt idx="5">
                  <c:v>6.585</c:v>
                </c:pt>
                <c:pt idx="6">
                  <c:v>5.7949999999999999</c:v>
                </c:pt>
                <c:pt idx="7">
                  <c:v>7.8540000000000001</c:v>
                </c:pt>
                <c:pt idx="8">
                  <c:v>4.4390000000000001</c:v>
                </c:pt>
                <c:pt idx="9">
                  <c:v>17.875</c:v>
                </c:pt>
                <c:pt idx="10">
                  <c:v>4.6109999999999998</c:v>
                </c:pt>
              </c:numCache>
            </c:numRef>
          </c:val>
        </c:ser>
        <c:ser>
          <c:idx val="7"/>
          <c:order val="7"/>
          <c:tx>
            <c:strRef>
              <c:f>'Section 11 data country'!$B$14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country'!$C$14:$M$14</c:f>
              <c:numCache>
                <c:formatCode>#,##0</c:formatCode>
                <c:ptCount val="11"/>
                <c:pt idx="0">
                  <c:v>1.175</c:v>
                </c:pt>
                <c:pt idx="1">
                  <c:v>1.6879999999999999</c:v>
                </c:pt>
                <c:pt idx="2">
                  <c:v>6.3440000000000003</c:v>
                </c:pt>
                <c:pt idx="3">
                  <c:v>3.371</c:v>
                </c:pt>
                <c:pt idx="4">
                  <c:v>6.585</c:v>
                </c:pt>
                <c:pt idx="5">
                  <c:v>5.7949999999999999</c:v>
                </c:pt>
                <c:pt idx="6">
                  <c:v>7.8540000000000001</c:v>
                </c:pt>
                <c:pt idx="7">
                  <c:v>4.4390000000000001</c:v>
                </c:pt>
                <c:pt idx="8">
                  <c:v>17.875</c:v>
                </c:pt>
                <c:pt idx="9">
                  <c:v>4.6109999999999998</c:v>
                </c:pt>
                <c:pt idx="10">
                  <c:v>12.366</c:v>
                </c:pt>
              </c:numCache>
            </c:numRef>
          </c:val>
        </c:ser>
        <c:ser>
          <c:idx val="8"/>
          <c:order val="8"/>
          <c:tx>
            <c:strRef>
              <c:f>'Section 11 data country'!$B$15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country'!$C$15:$M$15</c:f>
              <c:numCache>
                <c:formatCode>#,##0</c:formatCode>
                <c:ptCount val="11"/>
                <c:pt idx="0">
                  <c:v>10.935</c:v>
                </c:pt>
                <c:pt idx="1">
                  <c:v>4.5830000000000002</c:v>
                </c:pt>
                <c:pt idx="2">
                  <c:v>11.222</c:v>
                </c:pt>
                <c:pt idx="3">
                  <c:v>8.0039999999999996</c:v>
                </c:pt>
                <c:pt idx="4">
                  <c:v>12.305</c:v>
                </c:pt>
                <c:pt idx="5">
                  <c:v>9.9849999999999994</c:v>
                </c:pt>
                <c:pt idx="6">
                  <c:v>34.292000000000002</c:v>
                </c:pt>
                <c:pt idx="7">
                  <c:v>13.627000000000001</c:v>
                </c:pt>
                <c:pt idx="8">
                  <c:v>15.933</c:v>
                </c:pt>
                <c:pt idx="9">
                  <c:v>16.239000000000001</c:v>
                </c:pt>
                <c:pt idx="10">
                  <c:v>22.648</c:v>
                </c:pt>
              </c:numCache>
            </c:numRef>
          </c:val>
        </c:ser>
        <c:ser>
          <c:idx val="9"/>
          <c:order val="9"/>
          <c:tx>
            <c:strRef>
              <c:f>'Section 11 data country'!$B$16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country'!$C$16:$M$16</c:f>
              <c:numCache>
                <c:formatCode>#,##0</c:formatCode>
                <c:ptCount val="11"/>
                <c:pt idx="0">
                  <c:v>7.4480000000000004</c:v>
                </c:pt>
                <c:pt idx="1">
                  <c:v>4.7160000000000002</c:v>
                </c:pt>
                <c:pt idx="2">
                  <c:v>8.7769999999999992</c:v>
                </c:pt>
                <c:pt idx="3">
                  <c:v>15.696</c:v>
                </c:pt>
                <c:pt idx="4">
                  <c:v>17.774999999999999</c:v>
                </c:pt>
                <c:pt idx="5">
                  <c:v>46.031999999999996</c:v>
                </c:pt>
                <c:pt idx="6">
                  <c:v>43.795000000000002</c:v>
                </c:pt>
                <c:pt idx="7">
                  <c:v>33.500999999999998</c:v>
                </c:pt>
                <c:pt idx="8">
                  <c:v>27.170999999999999</c:v>
                </c:pt>
                <c:pt idx="9">
                  <c:v>43.365000000000002</c:v>
                </c:pt>
                <c:pt idx="10">
                  <c:v>30.393999999999998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country'!$B$17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country'!$C$17:$M$17</c:f>
              <c:numCache>
                <c:formatCode>#,##0</c:formatCode>
                <c:ptCount val="11"/>
                <c:pt idx="0">
                  <c:v>0.53100000000000003</c:v>
                </c:pt>
                <c:pt idx="1">
                  <c:v>0.35399999999999998</c:v>
                </c:pt>
                <c:pt idx="2">
                  <c:v>0.51900000000000002</c:v>
                </c:pt>
                <c:pt idx="3">
                  <c:v>0.58699999999999997</c:v>
                </c:pt>
                <c:pt idx="4">
                  <c:v>1.6679999999999999</c:v>
                </c:pt>
                <c:pt idx="5">
                  <c:v>16.125</c:v>
                </c:pt>
                <c:pt idx="6">
                  <c:v>6.2009999999999996</c:v>
                </c:pt>
                <c:pt idx="7">
                  <c:v>1.621</c:v>
                </c:pt>
                <c:pt idx="8">
                  <c:v>5.1280000000000001</c:v>
                </c:pt>
                <c:pt idx="9">
                  <c:v>2.6720000000000002</c:v>
                </c:pt>
                <c:pt idx="10">
                  <c:v>6.3620000000000001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country'!$B$18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country'!$C$18:$M$18</c:f>
              <c:numCache>
                <c:formatCode>#,##0</c:formatCode>
                <c:ptCount val="11"/>
                <c:pt idx="0">
                  <c:v>19.036000000000001</c:v>
                </c:pt>
                <c:pt idx="1">
                  <c:v>5.9370000000000003</c:v>
                </c:pt>
                <c:pt idx="2">
                  <c:v>15.96</c:v>
                </c:pt>
                <c:pt idx="3">
                  <c:v>8.5139999999999993</c:v>
                </c:pt>
                <c:pt idx="4">
                  <c:v>18.622</c:v>
                </c:pt>
                <c:pt idx="5">
                  <c:v>10.87</c:v>
                </c:pt>
                <c:pt idx="6">
                  <c:v>23.564</c:v>
                </c:pt>
                <c:pt idx="7">
                  <c:v>15.847</c:v>
                </c:pt>
                <c:pt idx="8">
                  <c:v>19.018000000000001</c:v>
                </c:pt>
                <c:pt idx="9">
                  <c:v>12.138</c:v>
                </c:pt>
                <c:pt idx="10">
                  <c:v>22.643000000000001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country'!$B$19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country'!$C$19:$M$19</c:f>
              <c:numCache>
                <c:formatCode>#,##0</c:formatCode>
                <c:ptCount val="11"/>
                <c:pt idx="0">
                  <c:v>23.013000000000002</c:v>
                </c:pt>
                <c:pt idx="1">
                  <c:v>15.759</c:v>
                </c:pt>
                <c:pt idx="2">
                  <c:v>29.61</c:v>
                </c:pt>
                <c:pt idx="3">
                  <c:v>18.113</c:v>
                </c:pt>
                <c:pt idx="4">
                  <c:v>18.414000000000001</c:v>
                </c:pt>
                <c:pt idx="5">
                  <c:v>18.056999999999999</c:v>
                </c:pt>
                <c:pt idx="6">
                  <c:v>45.112000000000002</c:v>
                </c:pt>
                <c:pt idx="7">
                  <c:v>28.303999999999998</c:v>
                </c:pt>
                <c:pt idx="8">
                  <c:v>28.565999999999999</c:v>
                </c:pt>
                <c:pt idx="9">
                  <c:v>29.603000000000002</c:v>
                </c:pt>
                <c:pt idx="10">
                  <c:v>36.796999999999997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country'!$B$20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country'!$C$3:$M$3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country'!$C$20:$M$20</c:f>
              <c:numCache>
                <c:formatCode>#,##0</c:formatCode>
                <c:ptCount val="11"/>
                <c:pt idx="0">
                  <c:v>3.4529999999999998</c:v>
                </c:pt>
                <c:pt idx="1">
                  <c:v>3.085</c:v>
                </c:pt>
                <c:pt idx="2">
                  <c:v>4.0259999999999998</c:v>
                </c:pt>
                <c:pt idx="3">
                  <c:v>2.492</c:v>
                </c:pt>
                <c:pt idx="4">
                  <c:v>4.0460000000000003</c:v>
                </c:pt>
                <c:pt idx="5">
                  <c:v>3.82</c:v>
                </c:pt>
                <c:pt idx="6">
                  <c:v>4.96</c:v>
                </c:pt>
                <c:pt idx="7">
                  <c:v>4.1829999999999998</c:v>
                </c:pt>
                <c:pt idx="8">
                  <c:v>5.048</c:v>
                </c:pt>
                <c:pt idx="9">
                  <c:v>8.9589999999999996</c:v>
                </c:pt>
                <c:pt idx="10">
                  <c:v>5.1870000000000003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5858688"/>
        <c:axId val="205860864"/>
      </c:barChart>
      <c:catAx>
        <c:axId val="205858688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05860864"/>
        <c:crosses val="autoZero"/>
        <c:auto val="1"/>
        <c:lblAlgn val="ctr"/>
        <c:lblOffset val="100"/>
        <c:noMultiLvlLbl val="0"/>
      </c:catAx>
      <c:valAx>
        <c:axId val="205860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58586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743988150592004"/>
          <c:y val="5.9242421396672691E-2"/>
          <c:w val="0.32435946375466657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hardwood forecast showing contribution by Aligned Area (PS)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11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country'!$C$47:$M$47</c:f>
              <c:numCache>
                <c:formatCode>#,##0</c:formatCode>
                <c:ptCount val="11"/>
                <c:pt idx="0">
                  <c:v>153.881</c:v>
                </c:pt>
                <c:pt idx="1">
                  <c:v>167.83799999999999</c:v>
                </c:pt>
                <c:pt idx="2">
                  <c:v>61.006</c:v>
                </c:pt>
                <c:pt idx="3">
                  <c:v>94.503</c:v>
                </c:pt>
                <c:pt idx="4">
                  <c:v>41.994</c:v>
                </c:pt>
                <c:pt idx="5">
                  <c:v>46.180999999999997</c:v>
                </c:pt>
                <c:pt idx="6">
                  <c:v>67.045000000000002</c:v>
                </c:pt>
                <c:pt idx="7">
                  <c:v>102.124</c:v>
                </c:pt>
                <c:pt idx="8">
                  <c:v>53.963000000000001</c:v>
                </c:pt>
                <c:pt idx="9">
                  <c:v>61.670999999999999</c:v>
                </c:pt>
                <c:pt idx="10">
                  <c:v>67.144999999999996</c:v>
                </c:pt>
              </c:numCache>
            </c:numRef>
          </c:val>
        </c:ser>
        <c:ser>
          <c:idx val="1"/>
          <c:order val="1"/>
          <c:tx>
            <c:strRef>
              <c:f>'Section 11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country'!$C$48:$M$48</c:f>
              <c:numCache>
                <c:formatCode>#,##0</c:formatCode>
                <c:ptCount val="11"/>
                <c:pt idx="0">
                  <c:v>76.659000000000006</c:v>
                </c:pt>
                <c:pt idx="1">
                  <c:v>71.724999999999994</c:v>
                </c:pt>
                <c:pt idx="2">
                  <c:v>17.383749999999999</c:v>
                </c:pt>
                <c:pt idx="3">
                  <c:v>54.444000000000003</c:v>
                </c:pt>
                <c:pt idx="4">
                  <c:v>54.802999999999997</c:v>
                </c:pt>
                <c:pt idx="5">
                  <c:v>81.849999999999994</c:v>
                </c:pt>
                <c:pt idx="6">
                  <c:v>90.275000000000006</c:v>
                </c:pt>
                <c:pt idx="7">
                  <c:v>61.390999999999998</c:v>
                </c:pt>
                <c:pt idx="8">
                  <c:v>59.960999999999999</c:v>
                </c:pt>
                <c:pt idx="9">
                  <c:v>66.349999999999994</c:v>
                </c:pt>
                <c:pt idx="10">
                  <c:v>81.378</c:v>
                </c:pt>
              </c:numCache>
            </c:numRef>
          </c:val>
        </c:ser>
        <c:ser>
          <c:idx val="2"/>
          <c:order val="2"/>
          <c:tx>
            <c:strRef>
              <c:f>'Section 11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country'!$C$49:$M$49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</c:ser>
        <c:ser>
          <c:idx val="3"/>
          <c:order val="3"/>
          <c:tx>
            <c:strRef>
              <c:f>'Section 11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country'!$C$50:$M$50</c:f>
              <c:numCache>
                <c:formatCode>#,##0</c:formatCode>
                <c:ptCount val="11"/>
                <c:pt idx="0">
                  <c:v>147.863</c:v>
                </c:pt>
                <c:pt idx="1">
                  <c:v>109.11799999999999</c:v>
                </c:pt>
                <c:pt idx="2">
                  <c:v>76.44</c:v>
                </c:pt>
                <c:pt idx="3">
                  <c:v>76.94</c:v>
                </c:pt>
                <c:pt idx="4">
                  <c:v>58.609000000000002</c:v>
                </c:pt>
                <c:pt idx="5">
                  <c:v>29.579000000000001</c:v>
                </c:pt>
                <c:pt idx="6">
                  <c:v>53.497999999999998</c:v>
                </c:pt>
                <c:pt idx="7">
                  <c:v>66.314999999999998</c:v>
                </c:pt>
                <c:pt idx="8">
                  <c:v>46.466000000000001</c:v>
                </c:pt>
                <c:pt idx="9">
                  <c:v>58.829000000000001</c:v>
                </c:pt>
                <c:pt idx="10">
                  <c:v>63.308999999999997</c:v>
                </c:pt>
              </c:numCache>
            </c:numRef>
          </c:val>
        </c:ser>
        <c:ser>
          <c:idx val="4"/>
          <c:order val="4"/>
          <c:tx>
            <c:strRef>
              <c:f>'Section 11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country'!$C$51:$M$51</c:f>
              <c:numCache>
                <c:formatCode>#,##0</c:formatCode>
                <c:ptCount val="11"/>
                <c:pt idx="0">
                  <c:v>240.05</c:v>
                </c:pt>
                <c:pt idx="1">
                  <c:v>115.809</c:v>
                </c:pt>
                <c:pt idx="2">
                  <c:v>26.077999999999999</c:v>
                </c:pt>
                <c:pt idx="3">
                  <c:v>43.500999999999998</c:v>
                </c:pt>
                <c:pt idx="4">
                  <c:v>34.613999999999997</c:v>
                </c:pt>
                <c:pt idx="5">
                  <c:v>36.002000000000002</c:v>
                </c:pt>
                <c:pt idx="6">
                  <c:v>36.689</c:v>
                </c:pt>
                <c:pt idx="7">
                  <c:v>49.747</c:v>
                </c:pt>
                <c:pt idx="8">
                  <c:v>59.463000000000001</c:v>
                </c:pt>
                <c:pt idx="9">
                  <c:v>64.822999999999993</c:v>
                </c:pt>
                <c:pt idx="10">
                  <c:v>78.119</c:v>
                </c:pt>
              </c:numCache>
            </c:numRef>
          </c:val>
        </c:ser>
        <c:ser>
          <c:idx val="5"/>
          <c:order val="5"/>
          <c:tx>
            <c:strRef>
              <c:f>'Section 11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country'!$C$52:$M$52</c:f>
              <c:numCache>
                <c:formatCode>#,##0</c:formatCode>
                <c:ptCount val="11"/>
                <c:pt idx="0">
                  <c:v>63.548999999999999</c:v>
                </c:pt>
                <c:pt idx="1">
                  <c:v>48.540999999999997</c:v>
                </c:pt>
                <c:pt idx="2">
                  <c:v>21.111999999999998</c:v>
                </c:pt>
                <c:pt idx="3">
                  <c:v>20.292000000000002</c:v>
                </c:pt>
                <c:pt idx="4">
                  <c:v>17.062999999999999</c:v>
                </c:pt>
                <c:pt idx="5">
                  <c:v>18.001000000000001</c:v>
                </c:pt>
                <c:pt idx="6">
                  <c:v>22.27</c:v>
                </c:pt>
                <c:pt idx="7">
                  <c:v>22.626000000000001</c:v>
                </c:pt>
                <c:pt idx="8">
                  <c:v>49.206000000000003</c:v>
                </c:pt>
                <c:pt idx="9">
                  <c:v>21.638999999999999</c:v>
                </c:pt>
                <c:pt idx="10">
                  <c:v>25.542999999999999</c:v>
                </c:pt>
              </c:numCache>
            </c:numRef>
          </c:val>
        </c:ser>
        <c:ser>
          <c:idx val="6"/>
          <c:order val="6"/>
          <c:tx>
            <c:strRef>
              <c:f>'Section 11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country'!$C$53:$M$53</c:f>
              <c:numCache>
                <c:formatCode>#,##0</c:formatCode>
                <c:ptCount val="11"/>
                <c:pt idx="0">
                  <c:v>175.386</c:v>
                </c:pt>
                <c:pt idx="1">
                  <c:v>181.68</c:v>
                </c:pt>
                <c:pt idx="2">
                  <c:v>153.43700000000001</c:v>
                </c:pt>
                <c:pt idx="3">
                  <c:v>132.709</c:v>
                </c:pt>
                <c:pt idx="4">
                  <c:v>109.968</c:v>
                </c:pt>
                <c:pt idx="5">
                  <c:v>99.257000000000005</c:v>
                </c:pt>
                <c:pt idx="6">
                  <c:v>122.413</c:v>
                </c:pt>
                <c:pt idx="7">
                  <c:v>113.898</c:v>
                </c:pt>
                <c:pt idx="8">
                  <c:v>206.43100000000001</c:v>
                </c:pt>
                <c:pt idx="9">
                  <c:v>115.17100000000001</c:v>
                </c:pt>
                <c:pt idx="10">
                  <c:v>186.05799999999999</c:v>
                </c:pt>
              </c:numCache>
            </c:numRef>
          </c:val>
        </c:ser>
        <c:ser>
          <c:idx val="7"/>
          <c:order val="7"/>
          <c:tx>
            <c:strRef>
              <c:f>'Section 11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country'!$C$54:$M$54</c:f>
              <c:numCache>
                <c:formatCode>#,##0</c:formatCode>
                <c:ptCount val="11"/>
                <c:pt idx="0">
                  <c:v>173.88300000000001</c:v>
                </c:pt>
                <c:pt idx="1">
                  <c:v>105.358</c:v>
                </c:pt>
                <c:pt idx="2">
                  <c:v>55.807000000000002</c:v>
                </c:pt>
                <c:pt idx="3">
                  <c:v>32.44</c:v>
                </c:pt>
                <c:pt idx="4">
                  <c:v>36.048000000000002</c:v>
                </c:pt>
                <c:pt idx="5">
                  <c:v>55.136000000000003</c:v>
                </c:pt>
                <c:pt idx="6">
                  <c:v>64.620999999999995</c:v>
                </c:pt>
                <c:pt idx="7">
                  <c:v>49.813000000000002</c:v>
                </c:pt>
                <c:pt idx="8">
                  <c:v>59.04</c:v>
                </c:pt>
                <c:pt idx="9">
                  <c:v>52.491</c:v>
                </c:pt>
                <c:pt idx="10">
                  <c:v>62.95</c:v>
                </c:pt>
              </c:numCache>
            </c:numRef>
          </c:val>
        </c:ser>
        <c:ser>
          <c:idx val="8"/>
          <c:order val="8"/>
          <c:tx>
            <c:strRef>
              <c:f>'Section 11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country'!$C$55:$M$55</c:f>
              <c:numCache>
                <c:formatCode>#,##0</c:formatCode>
                <c:ptCount val="11"/>
                <c:pt idx="0">
                  <c:v>100.90900000000001</c:v>
                </c:pt>
                <c:pt idx="1">
                  <c:v>79.908000000000001</c:v>
                </c:pt>
                <c:pt idx="2">
                  <c:v>39.039000000000001</c:v>
                </c:pt>
                <c:pt idx="3">
                  <c:v>50.837000000000003</c:v>
                </c:pt>
                <c:pt idx="4">
                  <c:v>35.65</c:v>
                </c:pt>
                <c:pt idx="5">
                  <c:v>24.302</c:v>
                </c:pt>
                <c:pt idx="6">
                  <c:v>44.088999999999999</c:v>
                </c:pt>
                <c:pt idx="7">
                  <c:v>39.719000000000001</c:v>
                </c:pt>
                <c:pt idx="8">
                  <c:v>38.395000000000003</c:v>
                </c:pt>
                <c:pt idx="9">
                  <c:v>47.356000000000002</c:v>
                </c:pt>
                <c:pt idx="10">
                  <c:v>53.656999999999996</c:v>
                </c:pt>
              </c:numCache>
            </c:numRef>
          </c:val>
        </c:ser>
        <c:ser>
          <c:idx val="9"/>
          <c:order val="9"/>
          <c:tx>
            <c:strRef>
              <c:f>'Section 11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country'!$C$56:$M$56</c:f>
              <c:numCache>
                <c:formatCode>#,##0</c:formatCode>
                <c:ptCount val="11"/>
                <c:pt idx="0">
                  <c:v>235.62200000000001</c:v>
                </c:pt>
                <c:pt idx="1">
                  <c:v>207.261</c:v>
                </c:pt>
                <c:pt idx="2">
                  <c:v>102.551</c:v>
                </c:pt>
                <c:pt idx="3">
                  <c:v>69.957999999999998</c:v>
                </c:pt>
                <c:pt idx="4">
                  <c:v>88.838999999999999</c:v>
                </c:pt>
                <c:pt idx="5">
                  <c:v>91.116</c:v>
                </c:pt>
                <c:pt idx="6">
                  <c:v>117.491</c:v>
                </c:pt>
                <c:pt idx="7">
                  <c:v>88.691000000000003</c:v>
                </c:pt>
                <c:pt idx="8">
                  <c:v>118.07899999999999</c:v>
                </c:pt>
                <c:pt idx="9">
                  <c:v>129.68100000000001</c:v>
                </c:pt>
                <c:pt idx="10">
                  <c:v>97.948999999999998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country'!$C$57:$M$57</c:f>
              <c:numCache>
                <c:formatCode>#,##0</c:formatCode>
                <c:ptCount val="11"/>
                <c:pt idx="0">
                  <c:v>272.06400000000002</c:v>
                </c:pt>
                <c:pt idx="1">
                  <c:v>253.17</c:v>
                </c:pt>
                <c:pt idx="2">
                  <c:v>136.49100000000001</c:v>
                </c:pt>
                <c:pt idx="3">
                  <c:v>157.709</c:v>
                </c:pt>
                <c:pt idx="4">
                  <c:v>99.477999999999994</c:v>
                </c:pt>
                <c:pt idx="5">
                  <c:v>90.569000000000003</c:v>
                </c:pt>
                <c:pt idx="6">
                  <c:v>136.179</c:v>
                </c:pt>
                <c:pt idx="7">
                  <c:v>174.178</c:v>
                </c:pt>
                <c:pt idx="8">
                  <c:v>143.429</c:v>
                </c:pt>
                <c:pt idx="9">
                  <c:v>155.244</c:v>
                </c:pt>
                <c:pt idx="10">
                  <c:v>140.435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country'!$C$58:$M$58</c:f>
              <c:numCache>
                <c:formatCode>#,##0</c:formatCode>
                <c:ptCount val="11"/>
                <c:pt idx="0">
                  <c:v>148.99799999999999</c:v>
                </c:pt>
                <c:pt idx="1">
                  <c:v>175.642</c:v>
                </c:pt>
                <c:pt idx="2">
                  <c:v>60.945</c:v>
                </c:pt>
                <c:pt idx="3">
                  <c:v>47.072000000000003</c:v>
                </c:pt>
                <c:pt idx="4">
                  <c:v>66.308000000000007</c:v>
                </c:pt>
                <c:pt idx="5">
                  <c:v>62.664000000000001</c:v>
                </c:pt>
                <c:pt idx="6">
                  <c:v>84.242000000000004</c:v>
                </c:pt>
                <c:pt idx="7">
                  <c:v>62.595999999999997</c:v>
                </c:pt>
                <c:pt idx="8">
                  <c:v>70.582999999999998</c:v>
                </c:pt>
                <c:pt idx="9">
                  <c:v>83.888000000000005</c:v>
                </c:pt>
                <c:pt idx="10">
                  <c:v>71.281999999999996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country'!$C$59:$M$59</c:f>
              <c:numCache>
                <c:formatCode>#,##0</c:formatCode>
                <c:ptCount val="11"/>
                <c:pt idx="0">
                  <c:v>359.38200000000001</c:v>
                </c:pt>
                <c:pt idx="1">
                  <c:v>325.99099999999999</c:v>
                </c:pt>
                <c:pt idx="2">
                  <c:v>184.98400000000001</c:v>
                </c:pt>
                <c:pt idx="3">
                  <c:v>176.03299999999999</c:v>
                </c:pt>
                <c:pt idx="4">
                  <c:v>145.39400000000001</c:v>
                </c:pt>
                <c:pt idx="5">
                  <c:v>93.040999999999997</c:v>
                </c:pt>
                <c:pt idx="6">
                  <c:v>123.294</c:v>
                </c:pt>
                <c:pt idx="7">
                  <c:v>157.60499999999999</c:v>
                </c:pt>
                <c:pt idx="8">
                  <c:v>138.49700000000001</c:v>
                </c:pt>
                <c:pt idx="9">
                  <c:v>148.553</c:v>
                </c:pt>
                <c:pt idx="10">
                  <c:v>112.062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country'!$C$60:$M$60</c:f>
              <c:numCache>
                <c:formatCode>#,##0</c:formatCode>
                <c:ptCount val="11"/>
                <c:pt idx="0">
                  <c:v>312.93900000000002</c:v>
                </c:pt>
                <c:pt idx="1">
                  <c:v>230.13499999999999</c:v>
                </c:pt>
                <c:pt idx="2">
                  <c:v>132.29499999999999</c:v>
                </c:pt>
                <c:pt idx="3">
                  <c:v>97.617000000000004</c:v>
                </c:pt>
                <c:pt idx="4">
                  <c:v>102.22799999999999</c:v>
                </c:pt>
                <c:pt idx="5">
                  <c:v>88.022999999999996</c:v>
                </c:pt>
                <c:pt idx="6">
                  <c:v>133.364</c:v>
                </c:pt>
                <c:pt idx="7">
                  <c:v>111.53400000000001</c:v>
                </c:pt>
                <c:pt idx="8">
                  <c:v>143.5</c:v>
                </c:pt>
                <c:pt idx="9">
                  <c:v>123.72199999999999</c:v>
                </c:pt>
                <c:pt idx="10">
                  <c:v>151.726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5973760"/>
        <c:axId val="217784704"/>
      </c:barChart>
      <c:catAx>
        <c:axId val="20597376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17784704"/>
        <c:crosses val="autoZero"/>
        <c:auto val="1"/>
        <c:lblAlgn val="ctr"/>
        <c:lblOffset val="100"/>
        <c:noMultiLvlLbl val="0"/>
      </c:catAx>
      <c:valAx>
        <c:axId val="217784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597376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'Section 11 data country'!$B$47</c:f>
              <c:strCache>
                <c:ptCount val="1"/>
                <c:pt idx="0">
                  <c:v>Cumbria and Lancashire</c:v>
                </c:pt>
              </c:strCache>
            </c:strRef>
          </c:tx>
          <c:spPr>
            <a:solidFill>
              <a:srgbClr val="9EB074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country'!$C$47:$M$47</c:f>
              <c:numCache>
                <c:formatCode>#,##0</c:formatCode>
                <c:ptCount val="11"/>
                <c:pt idx="0">
                  <c:v>153.881</c:v>
                </c:pt>
                <c:pt idx="1">
                  <c:v>167.83799999999999</c:v>
                </c:pt>
                <c:pt idx="2">
                  <c:v>61.006</c:v>
                </c:pt>
                <c:pt idx="3">
                  <c:v>94.503</c:v>
                </c:pt>
                <c:pt idx="4">
                  <c:v>41.994</c:v>
                </c:pt>
                <c:pt idx="5">
                  <c:v>46.180999999999997</c:v>
                </c:pt>
                <c:pt idx="6">
                  <c:v>67.045000000000002</c:v>
                </c:pt>
                <c:pt idx="7">
                  <c:v>102.124</c:v>
                </c:pt>
                <c:pt idx="8">
                  <c:v>53.963000000000001</c:v>
                </c:pt>
                <c:pt idx="9">
                  <c:v>61.670999999999999</c:v>
                </c:pt>
                <c:pt idx="10">
                  <c:v>67.144999999999996</c:v>
                </c:pt>
              </c:numCache>
            </c:numRef>
          </c:val>
        </c:ser>
        <c:ser>
          <c:idx val="1"/>
          <c:order val="1"/>
          <c:tx>
            <c:strRef>
              <c:f>'Section 11 data country'!$B$48</c:f>
              <c:strCache>
                <c:ptCount val="1"/>
                <c:pt idx="0">
                  <c:v>Devon Cornwall and the Isles of Scilly</c:v>
                </c:pt>
              </c:strCache>
            </c:strRef>
          </c:tx>
          <c:spPr>
            <a:solidFill>
              <a:srgbClr val="7FE3E3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country'!$C$48:$M$48</c:f>
              <c:numCache>
                <c:formatCode>#,##0</c:formatCode>
                <c:ptCount val="11"/>
                <c:pt idx="0">
                  <c:v>76.659000000000006</c:v>
                </c:pt>
                <c:pt idx="1">
                  <c:v>71.724999999999994</c:v>
                </c:pt>
                <c:pt idx="2">
                  <c:v>17.383749999999999</c:v>
                </c:pt>
                <c:pt idx="3">
                  <c:v>54.444000000000003</c:v>
                </c:pt>
                <c:pt idx="4">
                  <c:v>54.802999999999997</c:v>
                </c:pt>
                <c:pt idx="5">
                  <c:v>81.849999999999994</c:v>
                </c:pt>
                <c:pt idx="6">
                  <c:v>90.275000000000006</c:v>
                </c:pt>
                <c:pt idx="7">
                  <c:v>61.390999999999998</c:v>
                </c:pt>
                <c:pt idx="8">
                  <c:v>59.960999999999999</c:v>
                </c:pt>
                <c:pt idx="9">
                  <c:v>66.349999999999994</c:v>
                </c:pt>
                <c:pt idx="10">
                  <c:v>81.378</c:v>
                </c:pt>
              </c:numCache>
            </c:numRef>
          </c:val>
        </c:ser>
        <c:ser>
          <c:idx val="2"/>
          <c:order val="2"/>
          <c:tx>
            <c:strRef>
              <c:f>'Section 11 data country'!$B$49</c:f>
              <c:strCache>
                <c:ptCount val="1"/>
                <c:pt idx="0">
                  <c:v>East Anglia</c:v>
                </c:pt>
              </c:strCache>
            </c:strRef>
          </c:tx>
          <c:spPr>
            <a:solidFill>
              <a:srgbClr val="80D98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country'!$C$49:$M$49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</c:ser>
        <c:ser>
          <c:idx val="3"/>
          <c:order val="3"/>
          <c:tx>
            <c:strRef>
              <c:f>'Section 11 data country'!$B$50</c:f>
              <c:strCache>
                <c:ptCount val="1"/>
                <c:pt idx="0">
                  <c:v>East Midlands</c:v>
                </c:pt>
              </c:strCache>
            </c:strRef>
          </c:tx>
          <c:spPr>
            <a:solidFill>
              <a:srgbClr val="739C9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country'!$C$50:$M$50</c:f>
              <c:numCache>
                <c:formatCode>#,##0</c:formatCode>
                <c:ptCount val="11"/>
                <c:pt idx="0">
                  <c:v>147.863</c:v>
                </c:pt>
                <c:pt idx="1">
                  <c:v>109.11799999999999</c:v>
                </c:pt>
                <c:pt idx="2">
                  <c:v>76.44</c:v>
                </c:pt>
                <c:pt idx="3">
                  <c:v>76.94</c:v>
                </c:pt>
                <c:pt idx="4">
                  <c:v>58.609000000000002</c:v>
                </c:pt>
                <c:pt idx="5">
                  <c:v>29.579000000000001</c:v>
                </c:pt>
                <c:pt idx="6">
                  <c:v>53.497999999999998</c:v>
                </c:pt>
                <c:pt idx="7">
                  <c:v>66.314999999999998</c:v>
                </c:pt>
                <c:pt idx="8">
                  <c:v>46.466000000000001</c:v>
                </c:pt>
                <c:pt idx="9">
                  <c:v>58.829000000000001</c:v>
                </c:pt>
                <c:pt idx="10">
                  <c:v>63.308999999999997</c:v>
                </c:pt>
              </c:numCache>
            </c:numRef>
          </c:val>
        </c:ser>
        <c:ser>
          <c:idx val="4"/>
          <c:order val="4"/>
          <c:tx>
            <c:strRef>
              <c:f>'Section 11 data country'!$B$51</c:f>
              <c:strCache>
                <c:ptCount val="1"/>
                <c:pt idx="0">
                  <c:v>Greater Manchester Merseyside and Cheshire</c:v>
                </c:pt>
              </c:strCache>
            </c:strRef>
          </c:tx>
          <c:spPr>
            <a:solidFill>
              <a:srgbClr val="43996C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country'!$C$51:$M$51</c:f>
              <c:numCache>
                <c:formatCode>#,##0</c:formatCode>
                <c:ptCount val="11"/>
                <c:pt idx="0">
                  <c:v>240.05</c:v>
                </c:pt>
                <c:pt idx="1">
                  <c:v>115.809</c:v>
                </c:pt>
                <c:pt idx="2">
                  <c:v>26.077999999999999</c:v>
                </c:pt>
                <c:pt idx="3">
                  <c:v>43.500999999999998</c:v>
                </c:pt>
                <c:pt idx="4">
                  <c:v>34.613999999999997</c:v>
                </c:pt>
                <c:pt idx="5">
                  <c:v>36.002000000000002</c:v>
                </c:pt>
                <c:pt idx="6">
                  <c:v>36.689</c:v>
                </c:pt>
                <c:pt idx="7">
                  <c:v>49.747</c:v>
                </c:pt>
                <c:pt idx="8">
                  <c:v>59.463000000000001</c:v>
                </c:pt>
                <c:pt idx="9">
                  <c:v>64.822999999999993</c:v>
                </c:pt>
                <c:pt idx="10">
                  <c:v>78.119</c:v>
                </c:pt>
              </c:numCache>
            </c:numRef>
          </c:val>
        </c:ser>
        <c:ser>
          <c:idx val="5"/>
          <c:order val="5"/>
          <c:tx>
            <c:strRef>
              <c:f>'Section 11 data country'!$B$52</c:f>
              <c:strCache>
                <c:ptCount val="1"/>
                <c:pt idx="0">
                  <c:v>Hertfordshire and North London</c:v>
                </c:pt>
              </c:strCache>
            </c:strRef>
          </c:tx>
          <c:spPr>
            <a:solidFill>
              <a:srgbClr val="D7D97E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country'!$C$52:$M$52</c:f>
              <c:numCache>
                <c:formatCode>#,##0</c:formatCode>
                <c:ptCount val="11"/>
                <c:pt idx="0">
                  <c:v>63.548999999999999</c:v>
                </c:pt>
                <c:pt idx="1">
                  <c:v>48.540999999999997</c:v>
                </c:pt>
                <c:pt idx="2">
                  <c:v>21.111999999999998</c:v>
                </c:pt>
                <c:pt idx="3">
                  <c:v>20.292000000000002</c:v>
                </c:pt>
                <c:pt idx="4">
                  <c:v>17.062999999999999</c:v>
                </c:pt>
                <c:pt idx="5">
                  <c:v>18.001000000000001</c:v>
                </c:pt>
                <c:pt idx="6">
                  <c:v>22.27</c:v>
                </c:pt>
                <c:pt idx="7">
                  <c:v>22.626000000000001</c:v>
                </c:pt>
                <c:pt idx="8">
                  <c:v>49.206000000000003</c:v>
                </c:pt>
                <c:pt idx="9">
                  <c:v>21.638999999999999</c:v>
                </c:pt>
                <c:pt idx="10">
                  <c:v>25.542999999999999</c:v>
                </c:pt>
              </c:numCache>
            </c:numRef>
          </c:val>
        </c:ser>
        <c:ser>
          <c:idx val="6"/>
          <c:order val="6"/>
          <c:tx>
            <c:strRef>
              <c:f>'Section 11 data country'!$B$53</c:f>
              <c:strCache>
                <c:ptCount val="1"/>
                <c:pt idx="0">
                  <c:v>Kent South London and East Sussex</c:v>
                </c:pt>
              </c:strCache>
            </c:strRef>
          </c:tx>
          <c:spPr>
            <a:solidFill>
              <a:srgbClr val="91E3BB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country'!$C$53:$M$53</c:f>
              <c:numCache>
                <c:formatCode>#,##0</c:formatCode>
                <c:ptCount val="11"/>
                <c:pt idx="0">
                  <c:v>175.386</c:v>
                </c:pt>
                <c:pt idx="1">
                  <c:v>181.68</c:v>
                </c:pt>
                <c:pt idx="2">
                  <c:v>153.43700000000001</c:v>
                </c:pt>
                <c:pt idx="3">
                  <c:v>132.709</c:v>
                </c:pt>
                <c:pt idx="4">
                  <c:v>109.968</c:v>
                </c:pt>
                <c:pt idx="5">
                  <c:v>99.257000000000005</c:v>
                </c:pt>
                <c:pt idx="6">
                  <c:v>122.413</c:v>
                </c:pt>
                <c:pt idx="7">
                  <c:v>113.898</c:v>
                </c:pt>
                <c:pt idx="8">
                  <c:v>206.43100000000001</c:v>
                </c:pt>
                <c:pt idx="9">
                  <c:v>115.17100000000001</c:v>
                </c:pt>
                <c:pt idx="10">
                  <c:v>186.05799999999999</c:v>
                </c:pt>
              </c:numCache>
            </c:numRef>
          </c:val>
        </c:ser>
        <c:ser>
          <c:idx val="7"/>
          <c:order val="7"/>
          <c:tx>
            <c:strRef>
              <c:f>'Section 11 data country'!$B$54</c:f>
              <c:strCache>
                <c:ptCount val="1"/>
                <c:pt idx="0">
                  <c:v>Lincolnshire and Northamptonshire</c:v>
                </c:pt>
              </c:strCache>
            </c:strRef>
          </c:tx>
          <c:spPr>
            <a:solidFill>
              <a:srgbClr val="7FB5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country'!$C$54:$M$54</c:f>
              <c:numCache>
                <c:formatCode>#,##0</c:formatCode>
                <c:ptCount val="11"/>
                <c:pt idx="0">
                  <c:v>173.88300000000001</c:v>
                </c:pt>
                <c:pt idx="1">
                  <c:v>105.358</c:v>
                </c:pt>
                <c:pt idx="2">
                  <c:v>55.807000000000002</c:v>
                </c:pt>
                <c:pt idx="3">
                  <c:v>32.44</c:v>
                </c:pt>
                <c:pt idx="4">
                  <c:v>36.048000000000002</c:v>
                </c:pt>
                <c:pt idx="5">
                  <c:v>55.136000000000003</c:v>
                </c:pt>
                <c:pt idx="6">
                  <c:v>64.620999999999995</c:v>
                </c:pt>
                <c:pt idx="7">
                  <c:v>49.813000000000002</c:v>
                </c:pt>
                <c:pt idx="8">
                  <c:v>59.04</c:v>
                </c:pt>
                <c:pt idx="9">
                  <c:v>52.491</c:v>
                </c:pt>
                <c:pt idx="10">
                  <c:v>62.95</c:v>
                </c:pt>
              </c:numCache>
            </c:numRef>
          </c:val>
        </c:ser>
        <c:ser>
          <c:idx val="8"/>
          <c:order val="8"/>
          <c:tx>
            <c:strRef>
              <c:f>'Section 11 data country'!$B$55</c:f>
              <c:strCache>
                <c:ptCount val="1"/>
                <c:pt idx="0">
                  <c:v>North East</c:v>
                </c:pt>
              </c:strCache>
            </c:strRef>
          </c:tx>
          <c:spPr>
            <a:solidFill>
              <a:srgbClr val="CFD4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country'!$C$55:$M$55</c:f>
              <c:numCache>
                <c:formatCode>#,##0</c:formatCode>
                <c:ptCount val="11"/>
                <c:pt idx="0">
                  <c:v>100.90900000000001</c:v>
                </c:pt>
                <c:pt idx="1">
                  <c:v>79.908000000000001</c:v>
                </c:pt>
                <c:pt idx="2">
                  <c:v>39.039000000000001</c:v>
                </c:pt>
                <c:pt idx="3">
                  <c:v>50.837000000000003</c:v>
                </c:pt>
                <c:pt idx="4">
                  <c:v>35.65</c:v>
                </c:pt>
                <c:pt idx="5">
                  <c:v>24.302</c:v>
                </c:pt>
                <c:pt idx="6">
                  <c:v>44.088999999999999</c:v>
                </c:pt>
                <c:pt idx="7">
                  <c:v>39.719000000000001</c:v>
                </c:pt>
                <c:pt idx="8">
                  <c:v>38.395000000000003</c:v>
                </c:pt>
                <c:pt idx="9">
                  <c:v>47.356000000000002</c:v>
                </c:pt>
                <c:pt idx="10">
                  <c:v>53.656999999999996</c:v>
                </c:pt>
              </c:numCache>
            </c:numRef>
          </c:val>
        </c:ser>
        <c:ser>
          <c:idx val="9"/>
          <c:order val="9"/>
          <c:tx>
            <c:strRef>
              <c:f>'Section 11 data country'!$B$56</c:f>
              <c:strCache>
                <c:ptCount val="1"/>
                <c:pt idx="0">
                  <c:v>Solent and South Downs</c:v>
                </c:pt>
              </c:strCache>
            </c:strRef>
          </c:tx>
          <c:spPr>
            <a:solidFill>
              <a:srgbClr val="75DB9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country'!$C$56:$M$56</c:f>
              <c:numCache>
                <c:formatCode>#,##0</c:formatCode>
                <c:ptCount val="11"/>
                <c:pt idx="0">
                  <c:v>235.62200000000001</c:v>
                </c:pt>
                <c:pt idx="1">
                  <c:v>207.261</c:v>
                </c:pt>
                <c:pt idx="2">
                  <c:v>102.551</c:v>
                </c:pt>
                <c:pt idx="3">
                  <c:v>69.957999999999998</c:v>
                </c:pt>
                <c:pt idx="4">
                  <c:v>88.838999999999999</c:v>
                </c:pt>
                <c:pt idx="5">
                  <c:v>91.116</c:v>
                </c:pt>
                <c:pt idx="6">
                  <c:v>117.491</c:v>
                </c:pt>
                <c:pt idx="7">
                  <c:v>88.691000000000003</c:v>
                </c:pt>
                <c:pt idx="8">
                  <c:v>118.07899999999999</c:v>
                </c:pt>
                <c:pt idx="9">
                  <c:v>129.68100000000001</c:v>
                </c:pt>
                <c:pt idx="10">
                  <c:v>97.948999999999998</c:v>
                </c:pt>
              </c:numCache>
            </c:numRef>
          </c:val>
        </c:ser>
        <c:ser>
          <c:idx val="10"/>
          <c:order val="10"/>
          <c:tx>
            <c:strRef>
              <c:f>'Section 11 data country'!$B$57</c:f>
              <c:strCache>
                <c:ptCount val="1"/>
                <c:pt idx="0">
                  <c:v>Thames</c:v>
                </c:pt>
              </c:strCache>
            </c:strRef>
          </c:tx>
          <c:spPr>
            <a:solidFill>
              <a:srgbClr val="60AB6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country'!$C$57:$M$57</c:f>
              <c:numCache>
                <c:formatCode>#,##0</c:formatCode>
                <c:ptCount val="11"/>
                <c:pt idx="0">
                  <c:v>272.06400000000002</c:v>
                </c:pt>
                <c:pt idx="1">
                  <c:v>253.17</c:v>
                </c:pt>
                <c:pt idx="2">
                  <c:v>136.49100000000001</c:v>
                </c:pt>
                <c:pt idx="3">
                  <c:v>157.709</c:v>
                </c:pt>
                <c:pt idx="4">
                  <c:v>99.477999999999994</c:v>
                </c:pt>
                <c:pt idx="5">
                  <c:v>90.569000000000003</c:v>
                </c:pt>
                <c:pt idx="6">
                  <c:v>136.179</c:v>
                </c:pt>
                <c:pt idx="7">
                  <c:v>174.178</c:v>
                </c:pt>
                <c:pt idx="8">
                  <c:v>143.429</c:v>
                </c:pt>
                <c:pt idx="9">
                  <c:v>155.244</c:v>
                </c:pt>
                <c:pt idx="10">
                  <c:v>140.435</c:v>
                </c:pt>
              </c:numCache>
            </c:numRef>
          </c:val>
        </c:ser>
        <c:ser>
          <c:idx val="11"/>
          <c:order val="11"/>
          <c:tx>
            <c:strRef>
              <c:f>'Section 11 data country'!$B$58</c:f>
              <c:strCache>
                <c:ptCount val="1"/>
                <c:pt idx="0">
                  <c:v>Wessex</c:v>
                </c:pt>
              </c:strCache>
            </c:strRef>
          </c:tx>
          <c:spPr>
            <a:solidFill>
              <a:srgbClr val="85B569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country'!$C$58:$M$58</c:f>
              <c:numCache>
                <c:formatCode>#,##0</c:formatCode>
                <c:ptCount val="11"/>
                <c:pt idx="0">
                  <c:v>148.99799999999999</c:v>
                </c:pt>
                <c:pt idx="1">
                  <c:v>175.642</c:v>
                </c:pt>
                <c:pt idx="2">
                  <c:v>60.945</c:v>
                </c:pt>
                <c:pt idx="3">
                  <c:v>47.072000000000003</c:v>
                </c:pt>
                <c:pt idx="4">
                  <c:v>66.308000000000007</c:v>
                </c:pt>
                <c:pt idx="5">
                  <c:v>62.664000000000001</c:v>
                </c:pt>
                <c:pt idx="6">
                  <c:v>84.242000000000004</c:v>
                </c:pt>
                <c:pt idx="7">
                  <c:v>62.595999999999997</c:v>
                </c:pt>
                <c:pt idx="8">
                  <c:v>70.582999999999998</c:v>
                </c:pt>
                <c:pt idx="9">
                  <c:v>83.888000000000005</c:v>
                </c:pt>
                <c:pt idx="10">
                  <c:v>71.281999999999996</c:v>
                </c:pt>
              </c:numCache>
            </c:numRef>
          </c:val>
        </c:ser>
        <c:ser>
          <c:idx val="12"/>
          <c:order val="12"/>
          <c:tx>
            <c:strRef>
              <c:f>'Section 11 data country'!$B$59</c:f>
              <c:strCache>
                <c:ptCount val="1"/>
                <c:pt idx="0">
                  <c:v>West Midlands</c:v>
                </c:pt>
              </c:strCache>
            </c:strRef>
          </c:tx>
          <c:spPr>
            <a:solidFill>
              <a:srgbClr val="7C996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country'!$C$59:$M$59</c:f>
              <c:numCache>
                <c:formatCode>#,##0</c:formatCode>
                <c:ptCount val="11"/>
                <c:pt idx="0">
                  <c:v>359.38200000000001</c:v>
                </c:pt>
                <c:pt idx="1">
                  <c:v>325.99099999999999</c:v>
                </c:pt>
                <c:pt idx="2">
                  <c:v>184.98400000000001</c:v>
                </c:pt>
                <c:pt idx="3">
                  <c:v>176.03299999999999</c:v>
                </c:pt>
                <c:pt idx="4">
                  <c:v>145.39400000000001</c:v>
                </c:pt>
                <c:pt idx="5">
                  <c:v>93.040999999999997</c:v>
                </c:pt>
                <c:pt idx="6">
                  <c:v>123.294</c:v>
                </c:pt>
                <c:pt idx="7">
                  <c:v>157.60499999999999</c:v>
                </c:pt>
                <c:pt idx="8">
                  <c:v>138.49700000000001</c:v>
                </c:pt>
                <c:pt idx="9">
                  <c:v>148.553</c:v>
                </c:pt>
                <c:pt idx="10">
                  <c:v>112.062</c:v>
                </c:pt>
              </c:numCache>
            </c:numRef>
          </c:val>
        </c:ser>
        <c:ser>
          <c:idx val="13"/>
          <c:order val="13"/>
          <c:tx>
            <c:strRef>
              <c:f>'Section 11 data country'!$B$60</c:f>
              <c:strCache>
                <c:ptCount val="1"/>
                <c:pt idx="0">
                  <c:v>Yorkshire</c:v>
                </c:pt>
              </c:strCache>
            </c:strRef>
          </c:tx>
          <c:spPr>
            <a:solidFill>
              <a:srgbClr val="8BC4C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data country'!$C$43:$M$43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data country'!$C$60:$M$60</c:f>
              <c:numCache>
                <c:formatCode>#,##0</c:formatCode>
                <c:ptCount val="11"/>
                <c:pt idx="0">
                  <c:v>312.93900000000002</c:v>
                </c:pt>
                <c:pt idx="1">
                  <c:v>230.13499999999999</c:v>
                </c:pt>
                <c:pt idx="2">
                  <c:v>132.29499999999999</c:v>
                </c:pt>
                <c:pt idx="3">
                  <c:v>97.617000000000004</c:v>
                </c:pt>
                <c:pt idx="4">
                  <c:v>102.22799999999999</c:v>
                </c:pt>
                <c:pt idx="5">
                  <c:v>88.022999999999996</c:v>
                </c:pt>
                <c:pt idx="6">
                  <c:v>133.364</c:v>
                </c:pt>
                <c:pt idx="7">
                  <c:v>111.53400000000001</c:v>
                </c:pt>
                <c:pt idx="8">
                  <c:v>143.5</c:v>
                </c:pt>
                <c:pt idx="9">
                  <c:v>123.72199999999999</c:v>
                </c:pt>
                <c:pt idx="10">
                  <c:v>151.726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31649280"/>
        <c:axId val="231651200"/>
      </c:barChart>
      <c:catAx>
        <c:axId val="231649280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231651200"/>
        <c:crosses val="autoZero"/>
        <c:auto val="1"/>
        <c:lblAlgn val="ctr"/>
        <c:lblOffset val="100"/>
        <c:noMultiLvlLbl val="0"/>
      </c:catAx>
      <c:valAx>
        <c:axId val="231651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annual volume within period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1649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923922676650659"/>
          <c:y val="5.9242421396672691E-2"/>
          <c:w val="0.33256011849407996"/>
          <c:h val="0.881514992452617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ash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data'!$C$13:$C$19</c:f>
              <c:numCache>
                <c:formatCode>#,##0.00</c:formatCode>
                <c:ptCount val="7"/>
                <c:pt idx="0">
                  <c:v>0.1996</c:v>
                </c:pt>
                <c:pt idx="1">
                  <c:v>0.21994999999999998</c:v>
                </c:pt>
                <c:pt idx="2">
                  <c:v>0.21438000000000001</c:v>
                </c:pt>
                <c:pt idx="3">
                  <c:v>0.87028000000000005</c:v>
                </c:pt>
                <c:pt idx="4">
                  <c:v>0.96494000000000002</c:v>
                </c:pt>
                <c:pt idx="5">
                  <c:v>0.37048000000000003</c:v>
                </c:pt>
                <c:pt idx="6">
                  <c:v>0.10539000000000001</c:v>
                </c:pt>
              </c:numCache>
            </c:numRef>
          </c:val>
        </c:ser>
        <c:ser>
          <c:idx val="1"/>
          <c:order val="1"/>
          <c:tx>
            <c:strRef>
              <c:f>'Section 12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data'!$F$13:$F$19</c:f>
                <c:numCache>
                  <c:formatCode>General</c:formatCode>
                  <c:ptCount val="7"/>
                  <c:pt idx="0">
                    <c:v>1.0117992640280105</c:v>
                  </c:pt>
                  <c:pt idx="1">
                    <c:v>1.2796519442452343</c:v>
                  </c:pt>
                  <c:pt idx="2">
                    <c:v>1.223167864482491</c:v>
                  </c:pt>
                  <c:pt idx="3">
                    <c:v>1.4596135708155058</c:v>
                  </c:pt>
                  <c:pt idx="4">
                    <c:v>1.4137628334467933</c:v>
                  </c:pt>
                  <c:pt idx="5">
                    <c:v>1.1912263046700506</c:v>
                  </c:pt>
                  <c:pt idx="6">
                    <c:v>0.54285754192516444</c:v>
                  </c:pt>
                </c:numCache>
              </c:numRef>
            </c:plus>
            <c:minus>
              <c:numRef>
                <c:f>'Section 12 data'!$F$13:$F$19</c:f>
                <c:numCache>
                  <c:formatCode>General</c:formatCode>
                  <c:ptCount val="7"/>
                  <c:pt idx="0">
                    <c:v>1.0117992640280105</c:v>
                  </c:pt>
                  <c:pt idx="1">
                    <c:v>1.2796519442452343</c:v>
                  </c:pt>
                  <c:pt idx="2">
                    <c:v>1.223167864482491</c:v>
                  </c:pt>
                  <c:pt idx="3">
                    <c:v>1.4596135708155058</c:v>
                  </c:pt>
                  <c:pt idx="4">
                    <c:v>1.4137628334467933</c:v>
                  </c:pt>
                  <c:pt idx="5">
                    <c:v>1.1912263046700506</c:v>
                  </c:pt>
                  <c:pt idx="6">
                    <c:v>0.54285754192516444</c:v>
                  </c:pt>
                </c:numCache>
              </c:numRef>
            </c:minus>
          </c:errBars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data'!$D$13:$D$19</c:f>
              <c:numCache>
                <c:formatCode>#,##0.00</c:formatCode>
                <c:ptCount val="7"/>
                <c:pt idx="0">
                  <c:v>14.826370000000001</c:v>
                </c:pt>
                <c:pt idx="1">
                  <c:v>17.38409</c:v>
                </c:pt>
                <c:pt idx="2">
                  <c:v>24.32687</c:v>
                </c:pt>
                <c:pt idx="3">
                  <c:v>23.588710000000003</c:v>
                </c:pt>
                <c:pt idx="4">
                  <c:v>20.332699999999999</c:v>
                </c:pt>
                <c:pt idx="5">
                  <c:v>13.89418</c:v>
                </c:pt>
                <c:pt idx="6">
                  <c:v>3.2650200000000003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480320"/>
        <c:axId val="205481856"/>
      </c:barChart>
      <c:catAx>
        <c:axId val="2054803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5481856"/>
        <c:crosses val="autoZero"/>
        <c:auto val="1"/>
        <c:lblAlgn val="ctr"/>
        <c:lblOffset val="100"/>
        <c:noMultiLvlLbl val="0"/>
      </c:catAx>
      <c:valAx>
        <c:axId val="20548185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54803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3757591454182"/>
          <c:y val="0.10643303985103642"/>
          <c:w val="0.77647207504609961"/>
          <c:h val="0.62242067207282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'Eng Table 5'!$C$6</c:f>
              <c:strCache>
                <c:ptCount val="1"/>
                <c:pt idx="0">
                  <c:v>2 ha and over</c:v>
                </c:pt>
              </c:strCache>
            </c:strRef>
          </c:tx>
          <c:spPr>
            <a:solidFill>
              <a:srgbClr val="318C3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'Eng 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5'!$C$8:$C$22</c:f>
              <c:numCache>
                <c:formatCode>#,##0</c:formatCode>
                <c:ptCount val="15"/>
                <c:pt idx="0">
                  <c:v>678091.2545993207</c:v>
                </c:pt>
                <c:pt idx="1">
                  <c:v>304764.98828852654</c:v>
                </c:pt>
                <c:pt idx="2">
                  <c:v>20045.650014015584</c:v>
                </c:pt>
                <c:pt idx="3">
                  <c:v>8912.0125890118979</c:v>
                </c:pt>
                <c:pt idx="4">
                  <c:v>17452.571915841563</c:v>
                </c:pt>
                <c:pt idx="5">
                  <c:v>23794.394649762737</c:v>
                </c:pt>
                <c:pt idx="6">
                  <c:v>65715.671951372715</c:v>
                </c:pt>
                <c:pt idx="7">
                  <c:v>2307.85571721407</c:v>
                </c:pt>
                <c:pt idx="8">
                  <c:v>118.563878316445</c:v>
                </c:pt>
                <c:pt idx="9">
                  <c:v>3393.136785992685</c:v>
                </c:pt>
                <c:pt idx="10">
                  <c:v>25071.133167771295</c:v>
                </c:pt>
                <c:pt idx="11">
                  <c:v>3779.7284671462803</c:v>
                </c:pt>
                <c:pt idx="12">
                  <c:v>0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ser>
          <c:idx val="1"/>
          <c:order val="1"/>
          <c:tx>
            <c:strRef>
              <c:f>'Eng Table 5'!$D$6</c:f>
              <c:strCache>
                <c:ptCount val="1"/>
                <c:pt idx="0">
                  <c:v>0.5 – &lt; 2 ha</c:v>
                </c:pt>
              </c:strCache>
            </c:strRef>
          </c:tx>
          <c:spPr>
            <a:solidFill>
              <a:srgbClr val="B6D99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'Eng 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5'!$D$8:$D$22</c:f>
              <c:numCache>
                <c:formatCode>#,##0</c:formatCode>
                <c:ptCount val="15"/>
                <c:pt idx="0">
                  <c:v>108904.01171939222</c:v>
                </c:pt>
                <c:pt idx="1">
                  <c:v>11409.717800058846</c:v>
                </c:pt>
                <c:pt idx="2">
                  <c:v>228.62453313081534</c:v>
                </c:pt>
                <c:pt idx="3">
                  <c:v>542.2380298170616</c:v>
                </c:pt>
                <c:pt idx="4">
                  <c:v>4661.4588786505283</c:v>
                </c:pt>
                <c:pt idx="5">
                  <c:v>4517.8982231383961</c:v>
                </c:pt>
                <c:pt idx="6">
                  <c:v>9382.9948371066166</c:v>
                </c:pt>
                <c:pt idx="7">
                  <c:v>116.06132781497206</c:v>
                </c:pt>
                <c:pt idx="8">
                  <c:v>4.4030956979499969</c:v>
                </c:pt>
                <c:pt idx="9">
                  <c:v>1393.2095789051107</c:v>
                </c:pt>
                <c:pt idx="10">
                  <c:v>2719.5704145873869</c:v>
                </c:pt>
                <c:pt idx="11">
                  <c:v>324.9439730161007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8956288"/>
        <c:axId val="128957824"/>
      </c:barChart>
      <c:catAx>
        <c:axId val="1289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9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5782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956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155949779874"/>
          <c:y val="0.18909473282846168"/>
          <c:w val="0.19215727445833974"/>
          <c:h val="6.80732147857950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data'!$C$13:$C$19</c:f>
              <c:numCache>
                <c:formatCode>#,##0.00</c:formatCode>
                <c:ptCount val="7"/>
                <c:pt idx="0">
                  <c:v>0.1996</c:v>
                </c:pt>
                <c:pt idx="1">
                  <c:v>0.21994999999999998</c:v>
                </c:pt>
                <c:pt idx="2">
                  <c:v>0.21438000000000001</c:v>
                </c:pt>
                <c:pt idx="3">
                  <c:v>0.87028000000000005</c:v>
                </c:pt>
                <c:pt idx="4">
                  <c:v>0.96494000000000002</c:v>
                </c:pt>
                <c:pt idx="5">
                  <c:v>0.37048000000000003</c:v>
                </c:pt>
                <c:pt idx="6">
                  <c:v>0.10539000000000001</c:v>
                </c:pt>
              </c:numCache>
            </c:numRef>
          </c:val>
        </c:ser>
        <c:ser>
          <c:idx val="1"/>
          <c:order val="1"/>
          <c:tx>
            <c:strRef>
              <c:f>'Section 12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data'!$F$13:$F$19</c:f>
                <c:numCache>
                  <c:formatCode>General</c:formatCode>
                  <c:ptCount val="7"/>
                  <c:pt idx="0">
                    <c:v>1.0117992640280105</c:v>
                  </c:pt>
                  <c:pt idx="1">
                    <c:v>1.2796519442452343</c:v>
                  </c:pt>
                  <c:pt idx="2">
                    <c:v>1.223167864482491</c:v>
                  </c:pt>
                  <c:pt idx="3">
                    <c:v>1.4596135708155058</c:v>
                  </c:pt>
                  <c:pt idx="4">
                    <c:v>1.4137628334467933</c:v>
                  </c:pt>
                  <c:pt idx="5">
                    <c:v>1.1912263046700506</c:v>
                  </c:pt>
                  <c:pt idx="6">
                    <c:v>0.54285754192516444</c:v>
                  </c:pt>
                </c:numCache>
              </c:numRef>
            </c:plus>
            <c:minus>
              <c:numRef>
                <c:f>'Section 12 data'!$F$13:$F$19</c:f>
                <c:numCache>
                  <c:formatCode>General</c:formatCode>
                  <c:ptCount val="7"/>
                  <c:pt idx="0">
                    <c:v>1.0117992640280105</c:v>
                  </c:pt>
                  <c:pt idx="1">
                    <c:v>1.2796519442452343</c:v>
                  </c:pt>
                  <c:pt idx="2">
                    <c:v>1.223167864482491</c:v>
                  </c:pt>
                  <c:pt idx="3">
                    <c:v>1.4596135708155058</c:v>
                  </c:pt>
                  <c:pt idx="4">
                    <c:v>1.4137628334467933</c:v>
                  </c:pt>
                  <c:pt idx="5">
                    <c:v>1.1912263046700506</c:v>
                  </c:pt>
                  <c:pt idx="6">
                    <c:v>0.54285754192516444</c:v>
                  </c:pt>
                </c:numCache>
              </c:numRef>
            </c:minus>
          </c:errBars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data'!$D$13:$D$19</c:f>
              <c:numCache>
                <c:formatCode>#,##0.00</c:formatCode>
                <c:ptCount val="7"/>
                <c:pt idx="0">
                  <c:v>14.826370000000001</c:v>
                </c:pt>
                <c:pt idx="1">
                  <c:v>17.38409</c:v>
                </c:pt>
                <c:pt idx="2">
                  <c:v>24.32687</c:v>
                </c:pt>
                <c:pt idx="3">
                  <c:v>23.588710000000003</c:v>
                </c:pt>
                <c:pt idx="4">
                  <c:v>20.332699999999999</c:v>
                </c:pt>
                <c:pt idx="5">
                  <c:v>13.89418</c:v>
                </c:pt>
                <c:pt idx="6">
                  <c:v>3.2650200000000003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574144"/>
        <c:axId val="205575680"/>
      </c:barChart>
      <c:catAx>
        <c:axId val="2055741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5575680"/>
        <c:crosses val="autoZero"/>
        <c:auto val="1"/>
        <c:lblAlgn val="ctr"/>
        <c:lblOffset val="100"/>
        <c:noMultiLvlLbl val="0"/>
      </c:catAx>
      <c:valAx>
        <c:axId val="20557568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55741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ash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data'!$C$24:$C$32</c:f>
              <c:numCache>
                <c:formatCode>#,##0.00</c:formatCode>
                <c:ptCount val="9"/>
                <c:pt idx="0">
                  <c:v>0.26762000000000002</c:v>
                </c:pt>
                <c:pt idx="1">
                  <c:v>0.22765999999999997</c:v>
                </c:pt>
                <c:pt idx="2">
                  <c:v>0.49251</c:v>
                </c:pt>
                <c:pt idx="3">
                  <c:v>0.49441000000000007</c:v>
                </c:pt>
                <c:pt idx="4">
                  <c:v>0.64386999999999994</c:v>
                </c:pt>
                <c:pt idx="5">
                  <c:v>0.43122999999999995</c:v>
                </c:pt>
                <c:pt idx="6">
                  <c:v>0.29177000000000003</c:v>
                </c:pt>
                <c:pt idx="7">
                  <c:v>5.62E-2</c:v>
                </c:pt>
                <c:pt idx="8">
                  <c:v>3.9450000000000006E-2</c:v>
                </c:pt>
              </c:numCache>
            </c:numRef>
          </c:val>
        </c:ser>
        <c:ser>
          <c:idx val="1"/>
          <c:order val="1"/>
          <c:tx>
            <c:strRef>
              <c:f>'Section 12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data'!$F$24:$F$32</c:f>
                <c:numCache>
                  <c:formatCode>General</c:formatCode>
                  <c:ptCount val="9"/>
                  <c:pt idx="0">
                    <c:v>0.87217479637055062</c:v>
                  </c:pt>
                  <c:pt idx="1">
                    <c:v>1.2379253473664886</c:v>
                  </c:pt>
                  <c:pt idx="2">
                    <c:v>1.1231860846850779</c:v>
                  </c:pt>
                  <c:pt idx="3">
                    <c:v>0.9664571229159834</c:v>
                  </c:pt>
                  <c:pt idx="4">
                    <c:v>1.392045216736415</c:v>
                  </c:pt>
                  <c:pt idx="5">
                    <c:v>1.3631663377380525</c:v>
                  </c:pt>
                  <c:pt idx="6">
                    <c:v>1.1104123278546576</c:v>
                  </c:pt>
                  <c:pt idx="7">
                    <c:v>0.6466328198254071</c:v>
                  </c:pt>
                  <c:pt idx="8">
                    <c:v>0.33106323799197845</c:v>
                  </c:pt>
                </c:numCache>
              </c:numRef>
            </c:plus>
            <c:minus>
              <c:numRef>
                <c:f>'Section 12 data'!$F$24:$F$32</c:f>
                <c:numCache>
                  <c:formatCode>General</c:formatCode>
                  <c:ptCount val="9"/>
                  <c:pt idx="0">
                    <c:v>0.87217479637055062</c:v>
                  </c:pt>
                  <c:pt idx="1">
                    <c:v>1.2379253473664886</c:v>
                  </c:pt>
                  <c:pt idx="2">
                    <c:v>1.1231860846850779</c:v>
                  </c:pt>
                  <c:pt idx="3">
                    <c:v>0.9664571229159834</c:v>
                  </c:pt>
                  <c:pt idx="4">
                    <c:v>1.392045216736415</c:v>
                  </c:pt>
                  <c:pt idx="5">
                    <c:v>1.3631663377380525</c:v>
                  </c:pt>
                  <c:pt idx="6">
                    <c:v>1.1104123278546576</c:v>
                  </c:pt>
                  <c:pt idx="7">
                    <c:v>0.6466328198254071</c:v>
                  </c:pt>
                  <c:pt idx="8">
                    <c:v>0.33106323799197845</c:v>
                  </c:pt>
                </c:numCache>
              </c:numRef>
            </c:minus>
          </c:errBars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data'!$D$24:$D$32</c:f>
              <c:numCache>
                <c:formatCode>#,##0.00</c:formatCode>
                <c:ptCount val="9"/>
                <c:pt idx="0">
                  <c:v>12.230319999999999</c:v>
                </c:pt>
                <c:pt idx="1">
                  <c:v>19.082089999999997</c:v>
                </c:pt>
                <c:pt idx="2">
                  <c:v>13.457370000000001</c:v>
                </c:pt>
                <c:pt idx="3">
                  <c:v>12.27674</c:v>
                </c:pt>
                <c:pt idx="4">
                  <c:v>24.103330000000003</c:v>
                </c:pt>
                <c:pt idx="5">
                  <c:v>17.13289</c:v>
                </c:pt>
                <c:pt idx="6">
                  <c:v>14.03134</c:v>
                </c:pt>
                <c:pt idx="7">
                  <c:v>3.6919899999999997</c:v>
                </c:pt>
                <c:pt idx="8">
                  <c:v>1.6118200000000003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726464"/>
        <c:axId val="205728000"/>
      </c:barChart>
      <c:catAx>
        <c:axId val="2057264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5728000"/>
        <c:crosses val="autoZero"/>
        <c:auto val="1"/>
        <c:lblAlgn val="ctr"/>
        <c:lblOffset val="100"/>
        <c:noMultiLvlLbl val="0"/>
      </c:catAx>
      <c:valAx>
        <c:axId val="2057280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57264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data'!$C$24:$C$32</c:f>
              <c:numCache>
                <c:formatCode>#,##0.00</c:formatCode>
                <c:ptCount val="9"/>
                <c:pt idx="0">
                  <c:v>0.26762000000000002</c:v>
                </c:pt>
                <c:pt idx="1">
                  <c:v>0.22765999999999997</c:v>
                </c:pt>
                <c:pt idx="2">
                  <c:v>0.49251</c:v>
                </c:pt>
                <c:pt idx="3">
                  <c:v>0.49441000000000007</c:v>
                </c:pt>
                <c:pt idx="4">
                  <c:v>0.64386999999999994</c:v>
                </c:pt>
                <c:pt idx="5">
                  <c:v>0.43122999999999995</c:v>
                </c:pt>
                <c:pt idx="6">
                  <c:v>0.29177000000000003</c:v>
                </c:pt>
                <c:pt idx="7">
                  <c:v>5.62E-2</c:v>
                </c:pt>
                <c:pt idx="8">
                  <c:v>3.9450000000000006E-2</c:v>
                </c:pt>
              </c:numCache>
            </c:numRef>
          </c:val>
        </c:ser>
        <c:ser>
          <c:idx val="1"/>
          <c:order val="1"/>
          <c:tx>
            <c:strRef>
              <c:f>'Section 12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data'!$F$24:$F$32</c:f>
                <c:numCache>
                  <c:formatCode>General</c:formatCode>
                  <c:ptCount val="9"/>
                  <c:pt idx="0">
                    <c:v>0.87217479637055062</c:v>
                  </c:pt>
                  <c:pt idx="1">
                    <c:v>1.2379253473664886</c:v>
                  </c:pt>
                  <c:pt idx="2">
                    <c:v>1.1231860846850779</c:v>
                  </c:pt>
                  <c:pt idx="3">
                    <c:v>0.9664571229159834</c:v>
                  </c:pt>
                  <c:pt idx="4">
                    <c:v>1.392045216736415</c:v>
                  </c:pt>
                  <c:pt idx="5">
                    <c:v>1.3631663377380525</c:v>
                  </c:pt>
                  <c:pt idx="6">
                    <c:v>1.1104123278546576</c:v>
                  </c:pt>
                  <c:pt idx="7">
                    <c:v>0.6466328198254071</c:v>
                  </c:pt>
                  <c:pt idx="8">
                    <c:v>0.33106323799197845</c:v>
                  </c:pt>
                </c:numCache>
              </c:numRef>
            </c:plus>
            <c:minus>
              <c:numRef>
                <c:f>'Section 12 data'!$F$24:$F$32</c:f>
                <c:numCache>
                  <c:formatCode>General</c:formatCode>
                  <c:ptCount val="9"/>
                  <c:pt idx="0">
                    <c:v>0.87217479637055062</c:v>
                  </c:pt>
                  <c:pt idx="1">
                    <c:v>1.2379253473664886</c:v>
                  </c:pt>
                  <c:pt idx="2">
                    <c:v>1.1231860846850779</c:v>
                  </c:pt>
                  <c:pt idx="3">
                    <c:v>0.9664571229159834</c:v>
                  </c:pt>
                  <c:pt idx="4">
                    <c:v>1.392045216736415</c:v>
                  </c:pt>
                  <c:pt idx="5">
                    <c:v>1.3631663377380525</c:v>
                  </c:pt>
                  <c:pt idx="6">
                    <c:v>1.1104123278546576</c:v>
                  </c:pt>
                  <c:pt idx="7">
                    <c:v>0.6466328198254071</c:v>
                  </c:pt>
                  <c:pt idx="8">
                    <c:v>0.33106323799197845</c:v>
                  </c:pt>
                </c:numCache>
              </c:numRef>
            </c:minus>
          </c:errBars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data'!$D$24:$D$32</c:f>
              <c:numCache>
                <c:formatCode>#,##0.00</c:formatCode>
                <c:ptCount val="9"/>
                <c:pt idx="0">
                  <c:v>12.230319999999999</c:v>
                </c:pt>
                <c:pt idx="1">
                  <c:v>19.082089999999997</c:v>
                </c:pt>
                <c:pt idx="2">
                  <c:v>13.457370000000001</c:v>
                </c:pt>
                <c:pt idx="3">
                  <c:v>12.27674</c:v>
                </c:pt>
                <c:pt idx="4">
                  <c:v>24.103330000000003</c:v>
                </c:pt>
                <c:pt idx="5">
                  <c:v>17.13289</c:v>
                </c:pt>
                <c:pt idx="6">
                  <c:v>14.03134</c:v>
                </c:pt>
                <c:pt idx="7">
                  <c:v>3.6919899999999997</c:v>
                </c:pt>
                <c:pt idx="8">
                  <c:v>1.6118200000000003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771136"/>
        <c:axId val="205772672"/>
      </c:barChart>
      <c:catAx>
        <c:axId val="2057711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5772672"/>
        <c:crosses val="autoZero"/>
        <c:auto val="1"/>
        <c:lblAlgn val="ctr"/>
        <c:lblOffset val="100"/>
        <c:noMultiLvlLbl val="0"/>
      </c:catAx>
      <c:valAx>
        <c:axId val="2057726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57711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ash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data'!$J$13:$J$19</c:f>
              <c:numCache>
                <c:formatCode>#,##0.00</c:formatCode>
                <c:ptCount val="7"/>
                <c:pt idx="0">
                  <c:v>3.1E-2</c:v>
                </c:pt>
                <c:pt idx="1">
                  <c:v>2.528</c:v>
                </c:pt>
                <c:pt idx="2">
                  <c:v>20.507999999999999</c:v>
                </c:pt>
                <c:pt idx="3">
                  <c:v>134.38800000000001</c:v>
                </c:pt>
                <c:pt idx="4">
                  <c:v>165.92099999999999</c:v>
                </c:pt>
                <c:pt idx="5">
                  <c:v>70.367999999999995</c:v>
                </c:pt>
                <c:pt idx="6">
                  <c:v>23.563000000000002</c:v>
                </c:pt>
              </c:numCache>
            </c:numRef>
          </c:val>
        </c:ser>
        <c:ser>
          <c:idx val="1"/>
          <c:order val="1"/>
          <c:tx>
            <c:strRef>
              <c:f>'Section 12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data'!$M$13:$M$19</c:f>
                <c:numCache>
                  <c:formatCode>General</c:formatCode>
                  <c:ptCount val="7"/>
                  <c:pt idx="0">
                    <c:v>5.6997992321592497</c:v>
                  </c:pt>
                  <c:pt idx="1">
                    <c:v>96.113830724270386</c:v>
                  </c:pt>
                  <c:pt idx="2">
                    <c:v>228.9938177762975</c:v>
                  </c:pt>
                  <c:pt idx="3">
                    <c:v>439.83437666362306</c:v>
                  </c:pt>
                  <c:pt idx="4">
                    <c:v>580.77141764409544</c:v>
                  </c:pt>
                  <c:pt idx="5">
                    <c:v>743.66150717840981</c:v>
                  </c:pt>
                  <c:pt idx="6">
                    <c:v>506.93830002452495</c:v>
                  </c:pt>
                </c:numCache>
              </c:numRef>
            </c:plus>
            <c:minus>
              <c:numRef>
                <c:f>'Section 12 data'!$M$13:$M$19</c:f>
                <c:numCache>
                  <c:formatCode>General</c:formatCode>
                  <c:ptCount val="7"/>
                  <c:pt idx="0">
                    <c:v>5.6997992321592497</c:v>
                  </c:pt>
                  <c:pt idx="1">
                    <c:v>96.113830724270386</c:v>
                  </c:pt>
                  <c:pt idx="2">
                    <c:v>228.9938177762975</c:v>
                  </c:pt>
                  <c:pt idx="3">
                    <c:v>439.83437666362306</c:v>
                  </c:pt>
                  <c:pt idx="4">
                    <c:v>580.77141764409544</c:v>
                  </c:pt>
                  <c:pt idx="5">
                    <c:v>743.66150717840981</c:v>
                  </c:pt>
                  <c:pt idx="6">
                    <c:v>506.93830002452495</c:v>
                  </c:pt>
                </c:numCache>
              </c:numRef>
            </c:minus>
          </c:errBars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data'!$K$13:$K$19</c:f>
              <c:numCache>
                <c:formatCode>#,##0.00</c:formatCode>
                <c:ptCount val="7"/>
                <c:pt idx="0">
                  <c:v>28.028749999999999</c:v>
                </c:pt>
                <c:pt idx="1">
                  <c:v>814.87194</c:v>
                </c:pt>
                <c:pt idx="2">
                  <c:v>3511.54792</c:v>
                </c:pt>
                <c:pt idx="3">
                  <c:v>6234.1544299999996</c:v>
                </c:pt>
                <c:pt idx="4">
                  <c:v>7227.3456699999997</c:v>
                </c:pt>
                <c:pt idx="5">
                  <c:v>6502.9173200000005</c:v>
                </c:pt>
                <c:pt idx="6">
                  <c:v>2213.6504599999998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154048"/>
        <c:axId val="231155584"/>
      </c:barChart>
      <c:catAx>
        <c:axId val="23115404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155584"/>
        <c:crosses val="autoZero"/>
        <c:auto val="1"/>
        <c:lblAlgn val="ctr"/>
        <c:lblOffset val="100"/>
        <c:noMultiLvlLbl val="0"/>
      </c:catAx>
      <c:valAx>
        <c:axId val="23115558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15404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data'!$J$13:$J$19</c:f>
              <c:numCache>
                <c:formatCode>#,##0.00</c:formatCode>
                <c:ptCount val="7"/>
                <c:pt idx="0">
                  <c:v>3.1E-2</c:v>
                </c:pt>
                <c:pt idx="1">
                  <c:v>2.528</c:v>
                </c:pt>
                <c:pt idx="2">
                  <c:v>20.507999999999999</c:v>
                </c:pt>
                <c:pt idx="3">
                  <c:v>134.38800000000001</c:v>
                </c:pt>
                <c:pt idx="4">
                  <c:v>165.92099999999999</c:v>
                </c:pt>
                <c:pt idx="5">
                  <c:v>70.367999999999995</c:v>
                </c:pt>
                <c:pt idx="6">
                  <c:v>23.563000000000002</c:v>
                </c:pt>
              </c:numCache>
            </c:numRef>
          </c:val>
        </c:ser>
        <c:ser>
          <c:idx val="1"/>
          <c:order val="1"/>
          <c:tx>
            <c:strRef>
              <c:f>'Section 12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data'!$M$13:$M$19</c:f>
                <c:numCache>
                  <c:formatCode>General</c:formatCode>
                  <c:ptCount val="7"/>
                  <c:pt idx="0">
                    <c:v>5.6997992321592497</c:v>
                  </c:pt>
                  <c:pt idx="1">
                    <c:v>96.113830724270386</c:v>
                  </c:pt>
                  <c:pt idx="2">
                    <c:v>228.9938177762975</c:v>
                  </c:pt>
                  <c:pt idx="3">
                    <c:v>439.83437666362306</c:v>
                  </c:pt>
                  <c:pt idx="4">
                    <c:v>580.77141764409544</c:v>
                  </c:pt>
                  <c:pt idx="5">
                    <c:v>743.66150717840981</c:v>
                  </c:pt>
                  <c:pt idx="6">
                    <c:v>506.93830002452495</c:v>
                  </c:pt>
                </c:numCache>
              </c:numRef>
            </c:plus>
            <c:minus>
              <c:numRef>
                <c:f>'Section 12 data'!$M$13:$M$19</c:f>
                <c:numCache>
                  <c:formatCode>General</c:formatCode>
                  <c:ptCount val="7"/>
                  <c:pt idx="0">
                    <c:v>5.6997992321592497</c:v>
                  </c:pt>
                  <c:pt idx="1">
                    <c:v>96.113830724270386</c:v>
                  </c:pt>
                  <c:pt idx="2">
                    <c:v>228.9938177762975</c:v>
                  </c:pt>
                  <c:pt idx="3">
                    <c:v>439.83437666362306</c:v>
                  </c:pt>
                  <c:pt idx="4">
                    <c:v>580.77141764409544</c:v>
                  </c:pt>
                  <c:pt idx="5">
                    <c:v>743.66150717840981</c:v>
                  </c:pt>
                  <c:pt idx="6">
                    <c:v>506.93830002452495</c:v>
                  </c:pt>
                </c:numCache>
              </c:numRef>
            </c:minus>
          </c:errBars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data'!$K$13:$K$19</c:f>
              <c:numCache>
                <c:formatCode>#,##0.00</c:formatCode>
                <c:ptCount val="7"/>
                <c:pt idx="0">
                  <c:v>28.028749999999999</c:v>
                </c:pt>
                <c:pt idx="1">
                  <c:v>814.87194</c:v>
                </c:pt>
                <c:pt idx="2">
                  <c:v>3511.54792</c:v>
                </c:pt>
                <c:pt idx="3">
                  <c:v>6234.1544299999996</c:v>
                </c:pt>
                <c:pt idx="4">
                  <c:v>7227.3456699999997</c:v>
                </c:pt>
                <c:pt idx="5">
                  <c:v>6502.9173200000005</c:v>
                </c:pt>
                <c:pt idx="6">
                  <c:v>2213.6504599999998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780928"/>
        <c:axId val="230782464"/>
      </c:barChart>
      <c:catAx>
        <c:axId val="2307809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400" baseline="0"/>
            </a:pPr>
            <a:endParaRPr lang="en-US"/>
          </a:p>
        </c:txPr>
        <c:crossAx val="230782464"/>
        <c:crosses val="autoZero"/>
        <c:auto val="1"/>
        <c:lblAlgn val="ctr"/>
        <c:lblOffset val="100"/>
        <c:noMultiLvlLbl val="0"/>
      </c:catAx>
      <c:valAx>
        <c:axId val="23078246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07809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ash 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data'!$J$24:$J$32</c:f>
              <c:numCache>
                <c:formatCode>#,##0.00</c:formatCode>
                <c:ptCount val="9"/>
                <c:pt idx="0">
                  <c:v>0.109</c:v>
                </c:pt>
                <c:pt idx="1">
                  <c:v>5.6829999999999998</c:v>
                </c:pt>
                <c:pt idx="2">
                  <c:v>80.534000000000006</c:v>
                </c:pt>
                <c:pt idx="3">
                  <c:v>98.69</c:v>
                </c:pt>
                <c:pt idx="4">
                  <c:v>103.352</c:v>
                </c:pt>
                <c:pt idx="5">
                  <c:v>58.792000000000002</c:v>
                </c:pt>
                <c:pt idx="6">
                  <c:v>50.601999999999997</c:v>
                </c:pt>
                <c:pt idx="7">
                  <c:v>11.786</c:v>
                </c:pt>
                <c:pt idx="8">
                  <c:v>7.7640000000000002</c:v>
                </c:pt>
              </c:numCache>
            </c:numRef>
          </c:val>
        </c:ser>
        <c:ser>
          <c:idx val="1"/>
          <c:order val="1"/>
          <c:tx>
            <c:strRef>
              <c:f>'Section 12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data'!$M$24:$M$32</c:f>
                <c:numCache>
                  <c:formatCode>General</c:formatCode>
                  <c:ptCount val="9"/>
                  <c:pt idx="0">
                    <c:v>4.7716359686341052</c:v>
                  </c:pt>
                  <c:pt idx="1">
                    <c:v>34.630976684399059</c:v>
                  </c:pt>
                  <c:pt idx="2">
                    <c:v>107.01932065690769</c:v>
                  </c:pt>
                  <c:pt idx="3">
                    <c:v>194.51544475996002</c:v>
                  </c:pt>
                  <c:pt idx="4">
                    <c:v>436.04910493816851</c:v>
                  </c:pt>
                  <c:pt idx="5">
                    <c:v>542.9591158051403</c:v>
                  </c:pt>
                  <c:pt idx="6">
                    <c:v>644.37271315240457</c:v>
                  </c:pt>
                  <c:pt idx="7">
                    <c:v>447.95230411937291</c:v>
                  </c:pt>
                  <c:pt idx="8">
                    <c:v>373.95730832207033</c:v>
                  </c:pt>
                </c:numCache>
              </c:numRef>
            </c:plus>
            <c:minus>
              <c:numRef>
                <c:f>'Section 12 data'!$M$24:$M$32</c:f>
                <c:numCache>
                  <c:formatCode>General</c:formatCode>
                  <c:ptCount val="9"/>
                  <c:pt idx="0">
                    <c:v>4.7716359686341052</c:v>
                  </c:pt>
                  <c:pt idx="1">
                    <c:v>34.630976684399059</c:v>
                  </c:pt>
                  <c:pt idx="2">
                    <c:v>107.01932065690769</c:v>
                  </c:pt>
                  <c:pt idx="3">
                    <c:v>194.51544475996002</c:v>
                  </c:pt>
                  <c:pt idx="4">
                    <c:v>436.04910493816851</c:v>
                  </c:pt>
                  <c:pt idx="5">
                    <c:v>542.9591158051403</c:v>
                  </c:pt>
                  <c:pt idx="6">
                    <c:v>644.37271315240457</c:v>
                  </c:pt>
                  <c:pt idx="7">
                    <c:v>447.95230411937291</c:v>
                  </c:pt>
                  <c:pt idx="8">
                    <c:v>373.95730832207033</c:v>
                  </c:pt>
                </c:numCache>
              </c:numRef>
            </c:minus>
          </c:errBars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data'!$K$24:$K$32</c:f>
              <c:numCache>
                <c:formatCode>#,##0.00</c:formatCode>
                <c:ptCount val="9"/>
                <c:pt idx="0">
                  <c:v>21.864999999999998</c:v>
                </c:pt>
                <c:pt idx="1">
                  <c:v>473.74599999999998</c:v>
                </c:pt>
                <c:pt idx="2">
                  <c:v>1453.364</c:v>
                </c:pt>
                <c:pt idx="3">
                  <c:v>2372.3809999999999</c:v>
                </c:pt>
                <c:pt idx="4">
                  <c:v>7177.2640000000001</c:v>
                </c:pt>
                <c:pt idx="5">
                  <c:v>6538.6040000000003</c:v>
                </c:pt>
                <c:pt idx="6">
                  <c:v>6810.4939999999997</c:v>
                </c:pt>
                <c:pt idx="7">
                  <c:v>2641.8319999999999</c:v>
                </c:pt>
                <c:pt idx="8">
                  <c:v>1815.0229999999999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014400"/>
        <c:axId val="231015936"/>
      </c:barChart>
      <c:catAx>
        <c:axId val="2310144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015936"/>
        <c:crosses val="autoZero"/>
        <c:auto val="1"/>
        <c:lblAlgn val="ctr"/>
        <c:lblOffset val="100"/>
        <c:noMultiLvlLbl val="0"/>
      </c:catAx>
      <c:valAx>
        <c:axId val="2310159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0144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data'!$J$24:$J$32</c:f>
              <c:numCache>
                <c:formatCode>#,##0.00</c:formatCode>
                <c:ptCount val="9"/>
                <c:pt idx="0">
                  <c:v>0.109</c:v>
                </c:pt>
                <c:pt idx="1">
                  <c:v>5.6829999999999998</c:v>
                </c:pt>
                <c:pt idx="2">
                  <c:v>80.534000000000006</c:v>
                </c:pt>
                <c:pt idx="3">
                  <c:v>98.69</c:v>
                </c:pt>
                <c:pt idx="4">
                  <c:v>103.352</c:v>
                </c:pt>
                <c:pt idx="5">
                  <c:v>58.792000000000002</c:v>
                </c:pt>
                <c:pt idx="6">
                  <c:v>50.601999999999997</c:v>
                </c:pt>
                <c:pt idx="7">
                  <c:v>11.786</c:v>
                </c:pt>
                <c:pt idx="8">
                  <c:v>7.7640000000000002</c:v>
                </c:pt>
              </c:numCache>
            </c:numRef>
          </c:val>
        </c:ser>
        <c:ser>
          <c:idx val="1"/>
          <c:order val="1"/>
          <c:tx>
            <c:strRef>
              <c:f>'Section 12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data'!$M$24:$M$32</c:f>
                <c:numCache>
                  <c:formatCode>General</c:formatCode>
                  <c:ptCount val="9"/>
                  <c:pt idx="0">
                    <c:v>4.7716359686341052</c:v>
                  </c:pt>
                  <c:pt idx="1">
                    <c:v>34.630976684399059</c:v>
                  </c:pt>
                  <c:pt idx="2">
                    <c:v>107.01932065690769</c:v>
                  </c:pt>
                  <c:pt idx="3">
                    <c:v>194.51544475996002</c:v>
                  </c:pt>
                  <c:pt idx="4">
                    <c:v>436.04910493816851</c:v>
                  </c:pt>
                  <c:pt idx="5">
                    <c:v>542.9591158051403</c:v>
                  </c:pt>
                  <c:pt idx="6">
                    <c:v>644.37271315240457</c:v>
                  </c:pt>
                  <c:pt idx="7">
                    <c:v>447.95230411937291</c:v>
                  </c:pt>
                  <c:pt idx="8">
                    <c:v>373.95730832207033</c:v>
                  </c:pt>
                </c:numCache>
              </c:numRef>
            </c:plus>
            <c:minus>
              <c:numRef>
                <c:f>'Section 12 data'!$M$24:$M$32</c:f>
                <c:numCache>
                  <c:formatCode>General</c:formatCode>
                  <c:ptCount val="9"/>
                  <c:pt idx="0">
                    <c:v>4.7716359686341052</c:v>
                  </c:pt>
                  <c:pt idx="1">
                    <c:v>34.630976684399059</c:v>
                  </c:pt>
                  <c:pt idx="2">
                    <c:v>107.01932065690769</c:v>
                  </c:pt>
                  <c:pt idx="3">
                    <c:v>194.51544475996002</c:v>
                  </c:pt>
                  <c:pt idx="4">
                    <c:v>436.04910493816851</c:v>
                  </c:pt>
                  <c:pt idx="5">
                    <c:v>542.9591158051403</c:v>
                  </c:pt>
                  <c:pt idx="6">
                    <c:v>644.37271315240457</c:v>
                  </c:pt>
                  <c:pt idx="7">
                    <c:v>447.95230411937291</c:v>
                  </c:pt>
                  <c:pt idx="8">
                    <c:v>373.95730832207033</c:v>
                  </c:pt>
                </c:numCache>
              </c:numRef>
            </c:minus>
          </c:errBars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data'!$K$24:$K$32</c:f>
              <c:numCache>
                <c:formatCode>#,##0.00</c:formatCode>
                <c:ptCount val="9"/>
                <c:pt idx="0">
                  <c:v>21.864999999999998</c:v>
                </c:pt>
                <c:pt idx="1">
                  <c:v>473.74599999999998</c:v>
                </c:pt>
                <c:pt idx="2">
                  <c:v>1453.364</c:v>
                </c:pt>
                <c:pt idx="3">
                  <c:v>2372.3809999999999</c:v>
                </c:pt>
                <c:pt idx="4">
                  <c:v>7177.2640000000001</c:v>
                </c:pt>
                <c:pt idx="5">
                  <c:v>6538.6040000000003</c:v>
                </c:pt>
                <c:pt idx="6">
                  <c:v>6810.4939999999997</c:v>
                </c:pt>
                <c:pt idx="7">
                  <c:v>2641.8319999999999</c:v>
                </c:pt>
                <c:pt idx="8">
                  <c:v>1815.0229999999999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038336"/>
        <c:axId val="231056512"/>
      </c:barChart>
      <c:catAx>
        <c:axId val="2310383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056512"/>
        <c:crosses val="autoZero"/>
        <c:auto val="1"/>
        <c:lblAlgn val="ctr"/>
        <c:lblOffset val="100"/>
        <c:noMultiLvlLbl val="0"/>
      </c:catAx>
      <c:valAx>
        <c:axId val="23105651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0383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ash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data'!$Q$13:$Q$19</c:f>
              <c:numCache>
                <c:formatCode>#,##0.00</c:formatCode>
                <c:ptCount val="7"/>
                <c:pt idx="0">
                  <c:v>24.785</c:v>
                </c:pt>
                <c:pt idx="1">
                  <c:v>373.767</c:v>
                </c:pt>
                <c:pt idx="2">
                  <c:v>420.18799999999999</c:v>
                </c:pt>
                <c:pt idx="3">
                  <c:v>1024.1659999999999</c:v>
                </c:pt>
                <c:pt idx="4">
                  <c:v>824.77599999999995</c:v>
                </c:pt>
                <c:pt idx="5">
                  <c:v>296.41800000000001</c:v>
                </c:pt>
                <c:pt idx="6">
                  <c:v>96.454999999999984</c:v>
                </c:pt>
              </c:numCache>
            </c:numRef>
          </c:val>
        </c:ser>
        <c:ser>
          <c:idx val="1"/>
          <c:order val="1"/>
          <c:tx>
            <c:strRef>
              <c:f>'Section 12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data'!$T$13:$T$19</c:f>
                <c:numCache>
                  <c:formatCode>General</c:formatCode>
                  <c:ptCount val="7"/>
                  <c:pt idx="0">
                    <c:v>805.24961676812859</c:v>
                  </c:pt>
                  <c:pt idx="1">
                    <c:v>2570.0823343486163</c:v>
                  </c:pt>
                  <c:pt idx="2">
                    <c:v>2123.381225289952</c:v>
                  </c:pt>
                  <c:pt idx="3">
                    <c:v>1378.5823681515496</c:v>
                  </c:pt>
                  <c:pt idx="4">
                    <c:v>757.17128398763714</c:v>
                  </c:pt>
                  <c:pt idx="5">
                    <c:v>521.29706194886273</c:v>
                  </c:pt>
                  <c:pt idx="6">
                    <c:v>242.89789197340556</c:v>
                  </c:pt>
                </c:numCache>
              </c:numRef>
            </c:plus>
            <c:minus>
              <c:numRef>
                <c:f>'Section 12 data'!$T$13:$T$19</c:f>
                <c:numCache>
                  <c:formatCode>General</c:formatCode>
                  <c:ptCount val="7"/>
                  <c:pt idx="0">
                    <c:v>805.24961676812859</c:v>
                  </c:pt>
                  <c:pt idx="1">
                    <c:v>2570.0823343486163</c:v>
                  </c:pt>
                  <c:pt idx="2">
                    <c:v>2123.381225289952</c:v>
                  </c:pt>
                  <c:pt idx="3">
                    <c:v>1378.5823681515496</c:v>
                  </c:pt>
                  <c:pt idx="4">
                    <c:v>757.17128398763714</c:v>
                  </c:pt>
                  <c:pt idx="5">
                    <c:v>521.29706194886273</c:v>
                  </c:pt>
                  <c:pt idx="6">
                    <c:v>242.89789197340556</c:v>
                  </c:pt>
                </c:numCache>
              </c:numRef>
            </c:minus>
          </c:errBars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data'!$R$13:$R$19</c:f>
              <c:numCache>
                <c:formatCode>#,##0.00</c:formatCode>
                <c:ptCount val="7"/>
                <c:pt idx="0">
                  <c:v>4829.777</c:v>
                </c:pt>
                <c:pt idx="1">
                  <c:v>36976.103000000003</c:v>
                </c:pt>
                <c:pt idx="2">
                  <c:v>35587.614000000001</c:v>
                </c:pt>
                <c:pt idx="3">
                  <c:v>18591.525000000001</c:v>
                </c:pt>
                <c:pt idx="4">
                  <c:v>9716.1080000000002</c:v>
                </c:pt>
                <c:pt idx="5">
                  <c:v>5412.5240000000003</c:v>
                </c:pt>
                <c:pt idx="6">
                  <c:v>1382.9190000000001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255424"/>
        <c:axId val="231998592"/>
      </c:barChart>
      <c:catAx>
        <c:axId val="2312554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998592"/>
        <c:crosses val="autoZero"/>
        <c:auto val="1"/>
        <c:lblAlgn val="ctr"/>
        <c:lblOffset val="100"/>
        <c:noMultiLvlLbl val="0"/>
      </c:catAx>
      <c:valAx>
        <c:axId val="2319985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2554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data'!$Q$13:$Q$19</c:f>
              <c:numCache>
                <c:formatCode>#,##0.00</c:formatCode>
                <c:ptCount val="7"/>
                <c:pt idx="0">
                  <c:v>24.785</c:v>
                </c:pt>
                <c:pt idx="1">
                  <c:v>373.767</c:v>
                </c:pt>
                <c:pt idx="2">
                  <c:v>420.18799999999999</c:v>
                </c:pt>
                <c:pt idx="3">
                  <c:v>1024.1659999999999</c:v>
                </c:pt>
                <c:pt idx="4">
                  <c:v>824.77599999999995</c:v>
                </c:pt>
                <c:pt idx="5">
                  <c:v>296.41800000000001</c:v>
                </c:pt>
                <c:pt idx="6">
                  <c:v>96.454999999999984</c:v>
                </c:pt>
              </c:numCache>
            </c:numRef>
          </c:val>
        </c:ser>
        <c:ser>
          <c:idx val="1"/>
          <c:order val="1"/>
          <c:tx>
            <c:strRef>
              <c:f>'Section 12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data'!$T$13:$T$19</c:f>
                <c:numCache>
                  <c:formatCode>General</c:formatCode>
                  <c:ptCount val="7"/>
                  <c:pt idx="0">
                    <c:v>805.24961676812859</c:v>
                  </c:pt>
                  <c:pt idx="1">
                    <c:v>2570.0823343486163</c:v>
                  </c:pt>
                  <c:pt idx="2">
                    <c:v>2123.381225289952</c:v>
                  </c:pt>
                  <c:pt idx="3">
                    <c:v>1378.5823681515496</c:v>
                  </c:pt>
                  <c:pt idx="4">
                    <c:v>757.17128398763714</c:v>
                  </c:pt>
                  <c:pt idx="5">
                    <c:v>521.29706194886273</c:v>
                  </c:pt>
                  <c:pt idx="6">
                    <c:v>242.89789197340556</c:v>
                  </c:pt>
                </c:numCache>
              </c:numRef>
            </c:plus>
            <c:minus>
              <c:numRef>
                <c:f>'Section 12 data'!$T$13:$T$19</c:f>
                <c:numCache>
                  <c:formatCode>General</c:formatCode>
                  <c:ptCount val="7"/>
                  <c:pt idx="0">
                    <c:v>805.24961676812859</c:v>
                  </c:pt>
                  <c:pt idx="1">
                    <c:v>2570.0823343486163</c:v>
                  </c:pt>
                  <c:pt idx="2">
                    <c:v>2123.381225289952</c:v>
                  </c:pt>
                  <c:pt idx="3">
                    <c:v>1378.5823681515496</c:v>
                  </c:pt>
                  <c:pt idx="4">
                    <c:v>757.17128398763714</c:v>
                  </c:pt>
                  <c:pt idx="5">
                    <c:v>521.29706194886273</c:v>
                  </c:pt>
                  <c:pt idx="6">
                    <c:v>242.89789197340556</c:v>
                  </c:pt>
                </c:numCache>
              </c:numRef>
            </c:minus>
          </c:errBars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data'!$R$13:$R$19</c:f>
              <c:numCache>
                <c:formatCode>#,##0.00</c:formatCode>
                <c:ptCount val="7"/>
                <c:pt idx="0">
                  <c:v>4829.777</c:v>
                </c:pt>
                <c:pt idx="1">
                  <c:v>36976.103000000003</c:v>
                </c:pt>
                <c:pt idx="2">
                  <c:v>35587.614000000001</c:v>
                </c:pt>
                <c:pt idx="3">
                  <c:v>18591.525000000001</c:v>
                </c:pt>
                <c:pt idx="4">
                  <c:v>9716.1080000000002</c:v>
                </c:pt>
                <c:pt idx="5">
                  <c:v>5412.5240000000003</c:v>
                </c:pt>
                <c:pt idx="6">
                  <c:v>1382.9190000000001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078336"/>
        <c:axId val="232088320"/>
      </c:barChart>
      <c:catAx>
        <c:axId val="2320783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2088320"/>
        <c:crosses val="autoZero"/>
        <c:auto val="1"/>
        <c:lblAlgn val="ctr"/>
        <c:lblOffset val="100"/>
        <c:noMultiLvlLbl val="0"/>
      </c:catAx>
      <c:valAx>
        <c:axId val="23208832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20783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ash trees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data'!$Q$24:$Q$32</c:f>
              <c:numCache>
                <c:formatCode>#,##0.00</c:formatCode>
                <c:ptCount val="9"/>
                <c:pt idx="0">
                  <c:v>76.227000000000004</c:v>
                </c:pt>
                <c:pt idx="1">
                  <c:v>552.34</c:v>
                </c:pt>
                <c:pt idx="2">
                  <c:v>1170.74</c:v>
                </c:pt>
                <c:pt idx="3">
                  <c:v>795.40800000000002</c:v>
                </c:pt>
                <c:pt idx="4">
                  <c:v>354.31400000000002</c:v>
                </c:pt>
                <c:pt idx="5">
                  <c:v>95.376999999999995</c:v>
                </c:pt>
                <c:pt idx="6">
                  <c:v>34.872999999999998</c:v>
                </c:pt>
                <c:pt idx="7">
                  <c:v>4.08</c:v>
                </c:pt>
                <c:pt idx="8">
                  <c:v>1.3580000000000001</c:v>
                </c:pt>
              </c:numCache>
            </c:numRef>
          </c:val>
        </c:ser>
        <c:ser>
          <c:idx val="1"/>
          <c:order val="1"/>
          <c:tx>
            <c:strRef>
              <c:f>'Section 12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data'!$T$24:$T$32</c:f>
                <c:numCache>
                  <c:formatCode>General</c:formatCode>
                  <c:ptCount val="9"/>
                  <c:pt idx="0">
                    <c:v>890.03338880198407</c:v>
                  </c:pt>
                  <c:pt idx="1">
                    <c:v>2480.2516225718136</c:v>
                  </c:pt>
                  <c:pt idx="2">
                    <c:v>1980.5222053171517</c:v>
                  </c:pt>
                  <c:pt idx="3">
                    <c:v>1234.0095678725722</c:v>
                  </c:pt>
                  <c:pt idx="4">
                    <c:v>1130.1388262083769</c:v>
                  </c:pt>
                  <c:pt idx="5">
                    <c:v>697.04208694753356</c:v>
                  </c:pt>
                  <c:pt idx="6">
                    <c:v>323.44675907887813</c:v>
                  </c:pt>
                  <c:pt idx="7">
                    <c:v>150.88995522054927</c:v>
                  </c:pt>
                  <c:pt idx="8">
                    <c:v>43.027453667743814</c:v>
                  </c:pt>
                </c:numCache>
              </c:numRef>
            </c:plus>
            <c:minus>
              <c:numRef>
                <c:f>'Section 12 data'!$T$24:$T$32</c:f>
                <c:numCache>
                  <c:formatCode>General</c:formatCode>
                  <c:ptCount val="9"/>
                  <c:pt idx="0">
                    <c:v>890.03338880198407</c:v>
                  </c:pt>
                  <c:pt idx="1">
                    <c:v>2480.2516225718136</c:v>
                  </c:pt>
                  <c:pt idx="2">
                    <c:v>1980.5222053171517</c:v>
                  </c:pt>
                  <c:pt idx="3">
                    <c:v>1234.0095678725722</c:v>
                  </c:pt>
                  <c:pt idx="4">
                    <c:v>1130.1388262083769</c:v>
                  </c:pt>
                  <c:pt idx="5">
                    <c:v>697.04208694753356</c:v>
                  </c:pt>
                  <c:pt idx="6">
                    <c:v>323.44675907887813</c:v>
                  </c:pt>
                  <c:pt idx="7">
                    <c:v>150.88995522054927</c:v>
                  </c:pt>
                  <c:pt idx="8">
                    <c:v>43.027453667743814</c:v>
                  </c:pt>
                </c:numCache>
              </c:numRef>
            </c:minus>
          </c:errBars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data'!$R$24:$R$32</c:f>
              <c:numCache>
                <c:formatCode>#,##0.00</c:formatCode>
                <c:ptCount val="9"/>
                <c:pt idx="0">
                  <c:v>3012.5709999999999</c:v>
                </c:pt>
                <c:pt idx="1">
                  <c:v>37487.415000000001</c:v>
                </c:pt>
                <c:pt idx="2">
                  <c:v>20566.652999999998</c:v>
                </c:pt>
                <c:pt idx="3">
                  <c:v>12607.895</c:v>
                </c:pt>
                <c:pt idx="4">
                  <c:v>15479.26</c:v>
                </c:pt>
                <c:pt idx="5">
                  <c:v>6169.29</c:v>
                </c:pt>
                <c:pt idx="6">
                  <c:v>3001.7579999999998</c:v>
                </c:pt>
                <c:pt idx="7">
                  <c:v>626.46500000000003</c:v>
                </c:pt>
                <c:pt idx="8">
                  <c:v>121.05200000000001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709696"/>
        <c:axId val="231711488"/>
      </c:barChart>
      <c:catAx>
        <c:axId val="23170969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711488"/>
        <c:crosses val="autoZero"/>
        <c:auto val="1"/>
        <c:lblAlgn val="ctr"/>
        <c:lblOffset val="100"/>
        <c:noMultiLvlLbl val="0"/>
      </c:catAx>
      <c:valAx>
        <c:axId val="23171148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70969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Woodland area by interpreted forest type and ownership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doughnutChart>
        <c:varyColors val="1"/>
        <c:ser>
          <c:idx val="0"/>
          <c:order val="0"/>
          <c:tx>
            <c:strRef>
              <c:f>'Eng Table 6'!$C$5:$D$5</c:f>
              <c:strCache>
                <c:ptCount val="1"/>
                <c:pt idx="0">
                  <c:v>Forestry Commission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5.7157745353368782E-2"/>
                  <c:y val="-0.217012665221837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 anchor="ctr" anchorCtr="0"/>
              <a:lstStyle/>
              <a:p>
                <a:pPr>
                  <a:defRPr sz="800" baseline="0">
                    <a:latin typeface="Verdana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'Eng Table 6'!$B$8:$B$22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6'!$C$8:$C$22</c:f>
              <c:numCache>
                <c:formatCode>#,##0</c:formatCode>
                <c:ptCount val="15"/>
                <c:pt idx="0">
                  <c:v>43792.597471614601</c:v>
                </c:pt>
                <c:pt idx="1">
                  <c:v>126880.2700332864</c:v>
                </c:pt>
                <c:pt idx="2">
                  <c:v>11074.981260986973</c:v>
                </c:pt>
                <c:pt idx="3">
                  <c:v>3827.8855608136787</c:v>
                </c:pt>
                <c:pt idx="4">
                  <c:v>2206.0359298092799</c:v>
                </c:pt>
                <c:pt idx="5">
                  <c:v>2770.343592930632</c:v>
                </c:pt>
                <c:pt idx="6">
                  <c:v>21902.016843576774</c:v>
                </c:pt>
                <c:pt idx="7">
                  <c:v>159.70865044055941</c:v>
                </c:pt>
                <c:pt idx="8">
                  <c:v>5.4658092731199996</c:v>
                </c:pt>
                <c:pt idx="9">
                  <c:v>119.14048196458486</c:v>
                </c:pt>
                <c:pt idx="10">
                  <c:v>1086.051515201463</c:v>
                </c:pt>
                <c:pt idx="11">
                  <c:v>595.48377248391398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'Eng Table 6'!$E$5:$F$5</c:f>
              <c:strCache>
                <c:ptCount val="1"/>
                <c:pt idx="0">
                  <c:v>Other ownership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3.9773969615605302E-2"/>
                  <c:y val="0.10675570805308725"/>
                </c:manualLayout>
              </c:layout>
              <c:tx>
                <c:rich>
                  <a:bodyPr anchor="ctr" anchorCtr="0"/>
                  <a:lstStyle/>
                  <a:p>
                    <a:pPr>
                      <a:defRPr sz="800"/>
                    </a:pPr>
                    <a:r>
                      <a:rPr lang="en-US" sz="800" baseline="0">
                        <a:latin typeface="Verdana" pitchFamily="34" charset="0"/>
                      </a:rPr>
                      <a:t>Other </a:t>
                    </a:r>
                  </a:p>
                  <a:p>
                    <a:pPr>
                      <a:defRPr sz="800"/>
                    </a:pPr>
                    <a:r>
                      <a:rPr lang="en-US" sz="800" baseline="0">
                        <a:latin typeface="Verdana" pitchFamily="34" charset="0"/>
                      </a:rPr>
                      <a:t>ownership</a:t>
                    </a:r>
                    <a:endParaRPr lang="en-US" baseline="0">
                      <a:latin typeface="Verdana" pitchFamily="34" charset="0"/>
                    </a:endParaRP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'Eng Table 6'!$B$8:$B$22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6'!$E$8:$E$22</c:f>
              <c:numCache>
                <c:formatCode>#,##0</c:formatCode>
                <c:ptCount val="15"/>
                <c:pt idx="0">
                  <c:v>743202.63367146603</c:v>
                </c:pt>
                <c:pt idx="1">
                  <c:v>189294.36625953682</c:v>
                </c:pt>
                <c:pt idx="2">
                  <c:v>9181.7921241813256</c:v>
                </c:pt>
                <c:pt idx="3">
                  <c:v>5572.2680160499094</c:v>
                </c:pt>
                <c:pt idx="4">
                  <c:v>19958.789771588901</c:v>
                </c:pt>
                <c:pt idx="5">
                  <c:v>25512.205390203781</c:v>
                </c:pt>
                <c:pt idx="6">
                  <c:v>53323.22470173004</c:v>
                </c:pt>
                <c:pt idx="7">
                  <c:v>2174.7720521985307</c:v>
                </c:pt>
                <c:pt idx="8">
                  <c:v>153.83582332532501</c:v>
                </c:pt>
                <c:pt idx="9">
                  <c:v>4780.8480001917114</c:v>
                </c:pt>
                <c:pt idx="10">
                  <c:v>26478.241961867301</c:v>
                </c:pt>
                <c:pt idx="11">
                  <c:v>3598.5862828164245</c:v>
                </c:pt>
                <c:pt idx="12">
                  <c:v>0.48075545800000002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data'!$Q$24:$Q$32</c:f>
              <c:numCache>
                <c:formatCode>#,##0.00</c:formatCode>
                <c:ptCount val="9"/>
                <c:pt idx="0">
                  <c:v>76.227000000000004</c:v>
                </c:pt>
                <c:pt idx="1">
                  <c:v>552.34</c:v>
                </c:pt>
                <c:pt idx="2">
                  <c:v>1170.74</c:v>
                </c:pt>
                <c:pt idx="3">
                  <c:v>795.40800000000002</c:v>
                </c:pt>
                <c:pt idx="4">
                  <c:v>354.31400000000002</c:v>
                </c:pt>
                <c:pt idx="5">
                  <c:v>95.376999999999995</c:v>
                </c:pt>
                <c:pt idx="6">
                  <c:v>34.872999999999998</c:v>
                </c:pt>
                <c:pt idx="7">
                  <c:v>4.08</c:v>
                </c:pt>
                <c:pt idx="8">
                  <c:v>1.3580000000000001</c:v>
                </c:pt>
              </c:numCache>
            </c:numRef>
          </c:val>
        </c:ser>
        <c:ser>
          <c:idx val="1"/>
          <c:order val="1"/>
          <c:tx>
            <c:strRef>
              <c:f>'Section 12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data'!$T$24:$T$32</c:f>
                <c:numCache>
                  <c:formatCode>General</c:formatCode>
                  <c:ptCount val="9"/>
                  <c:pt idx="0">
                    <c:v>890.03338880198407</c:v>
                  </c:pt>
                  <c:pt idx="1">
                    <c:v>2480.2516225718136</c:v>
                  </c:pt>
                  <c:pt idx="2">
                    <c:v>1980.5222053171517</c:v>
                  </c:pt>
                  <c:pt idx="3">
                    <c:v>1234.0095678725722</c:v>
                  </c:pt>
                  <c:pt idx="4">
                    <c:v>1130.1388262083769</c:v>
                  </c:pt>
                  <c:pt idx="5">
                    <c:v>697.04208694753356</c:v>
                  </c:pt>
                  <c:pt idx="6">
                    <c:v>323.44675907887813</c:v>
                  </c:pt>
                  <c:pt idx="7">
                    <c:v>150.88995522054927</c:v>
                  </c:pt>
                  <c:pt idx="8">
                    <c:v>43.027453667743814</c:v>
                  </c:pt>
                </c:numCache>
              </c:numRef>
            </c:plus>
            <c:minus>
              <c:numRef>
                <c:f>'Section 12 data'!$T$24:$T$32</c:f>
                <c:numCache>
                  <c:formatCode>General</c:formatCode>
                  <c:ptCount val="9"/>
                  <c:pt idx="0">
                    <c:v>890.03338880198407</c:v>
                  </c:pt>
                  <c:pt idx="1">
                    <c:v>2480.2516225718136</c:v>
                  </c:pt>
                  <c:pt idx="2">
                    <c:v>1980.5222053171517</c:v>
                  </c:pt>
                  <c:pt idx="3">
                    <c:v>1234.0095678725722</c:v>
                  </c:pt>
                  <c:pt idx="4">
                    <c:v>1130.1388262083769</c:v>
                  </c:pt>
                  <c:pt idx="5">
                    <c:v>697.04208694753356</c:v>
                  </c:pt>
                  <c:pt idx="6">
                    <c:v>323.44675907887813</c:v>
                  </c:pt>
                  <c:pt idx="7">
                    <c:v>150.88995522054927</c:v>
                  </c:pt>
                  <c:pt idx="8">
                    <c:v>43.027453667743814</c:v>
                  </c:pt>
                </c:numCache>
              </c:numRef>
            </c:minus>
          </c:errBars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data'!$R$24:$R$32</c:f>
              <c:numCache>
                <c:formatCode>#,##0.00</c:formatCode>
                <c:ptCount val="9"/>
                <c:pt idx="0">
                  <c:v>3012.5709999999999</c:v>
                </c:pt>
                <c:pt idx="1">
                  <c:v>37487.415000000001</c:v>
                </c:pt>
                <c:pt idx="2">
                  <c:v>20566.652999999998</c:v>
                </c:pt>
                <c:pt idx="3">
                  <c:v>12607.895</c:v>
                </c:pt>
                <c:pt idx="4">
                  <c:v>15479.26</c:v>
                </c:pt>
                <c:pt idx="5">
                  <c:v>6169.29</c:v>
                </c:pt>
                <c:pt idx="6">
                  <c:v>3001.7579999999998</c:v>
                </c:pt>
                <c:pt idx="7">
                  <c:v>626.46500000000003</c:v>
                </c:pt>
                <c:pt idx="8">
                  <c:v>121.05200000000001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729792"/>
        <c:axId val="231825792"/>
      </c:barChart>
      <c:catAx>
        <c:axId val="2317297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1825792"/>
        <c:crosses val="autoZero"/>
        <c:auto val="1"/>
        <c:lblAlgn val="ctr"/>
        <c:lblOffset val="100"/>
        <c:noMultiLvlLbl val="0"/>
      </c:catAx>
      <c:valAx>
        <c:axId val="2318257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172979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data'!$B$37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data'!$G$37,'Section 12 data'!$N$37,'Section 12 data'!$U$37)</c:f>
              <c:numCache>
                <c:formatCode>#,##0.0000</c:formatCode>
                <c:ptCount val="3"/>
                <c:pt idx="0">
                  <c:v>120.5</c:v>
                </c:pt>
                <c:pt idx="1">
                  <c:v>29721.885000000002</c:v>
                </c:pt>
                <c:pt idx="2">
                  <c:v>115581.29</c:v>
                </c:pt>
              </c:numCache>
            </c:numRef>
          </c:val>
        </c:ser>
        <c:ser>
          <c:idx val="1"/>
          <c:order val="1"/>
          <c:tx>
            <c:strRef>
              <c:f>'Section 12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data'!$G$38,'Section 12 data'!$N$38,'Section 12 data'!$U$38)</c:f>
              <c:numCache>
                <c:formatCode>#,##0.0000</c:formatCode>
                <c:ptCount val="3"/>
                <c:pt idx="0">
                  <c:v>772.03071</c:v>
                </c:pt>
                <c:pt idx="1">
                  <c:v>148220.212</c:v>
                </c:pt>
                <c:pt idx="2">
                  <c:v>925897.41599999997</c:v>
                </c:pt>
              </c:numCache>
            </c:numRef>
          </c:val>
        </c:ser>
        <c:ser>
          <c:idx val="2"/>
          <c:order val="2"/>
          <c:tx>
            <c:strRef>
              <c:f>'Section 12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data'!$G$39,'Section 12 data'!$N$39,'Section 12 data'!$U$39)</c:f>
              <c:numCache>
                <c:formatCode>#,##0.0000</c:formatCode>
                <c:ptCount val="3"/>
                <c:pt idx="0">
                  <c:v>305.05426999999997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922304"/>
        <c:axId val="231924096"/>
      </c:barChart>
      <c:catAx>
        <c:axId val="231922304"/>
        <c:scaling>
          <c:orientation val="maxMin"/>
        </c:scaling>
        <c:delete val="0"/>
        <c:axPos val="l"/>
        <c:majorTickMark val="out"/>
        <c:minorTickMark val="none"/>
        <c:tickLblPos val="nextTo"/>
        <c:crossAx val="231924096"/>
        <c:crosses val="autoZero"/>
        <c:auto val="1"/>
        <c:lblAlgn val="ctr"/>
        <c:lblOffset val="100"/>
        <c:noMultiLvlLbl val="0"/>
      </c:catAx>
      <c:valAx>
        <c:axId val="2319240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192230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data'!$B$37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data'!$G$37,'Section 12 data'!$N$37,'Section 12 data'!$U$37)</c:f>
              <c:numCache>
                <c:formatCode>#,##0.0000</c:formatCode>
                <c:ptCount val="3"/>
                <c:pt idx="0">
                  <c:v>120.5</c:v>
                </c:pt>
                <c:pt idx="1">
                  <c:v>29721.885000000002</c:v>
                </c:pt>
                <c:pt idx="2">
                  <c:v>115581.29</c:v>
                </c:pt>
              </c:numCache>
            </c:numRef>
          </c:val>
        </c:ser>
        <c:ser>
          <c:idx val="1"/>
          <c:order val="1"/>
          <c:tx>
            <c:strRef>
              <c:f>'Section 12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data'!$G$38,'Section 12 data'!$N$38,'Section 12 data'!$U$38)</c:f>
              <c:numCache>
                <c:formatCode>#,##0.0000</c:formatCode>
                <c:ptCount val="3"/>
                <c:pt idx="0">
                  <c:v>772.03071</c:v>
                </c:pt>
                <c:pt idx="1">
                  <c:v>148220.212</c:v>
                </c:pt>
                <c:pt idx="2">
                  <c:v>925897.41599999997</c:v>
                </c:pt>
              </c:numCache>
            </c:numRef>
          </c:val>
        </c:ser>
        <c:ser>
          <c:idx val="2"/>
          <c:order val="2"/>
          <c:tx>
            <c:strRef>
              <c:f>'Section 12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data'!$G$39,'Section 12 data'!$N$39,'Section 12 data'!$U$39)</c:f>
              <c:numCache>
                <c:formatCode>#,##0.0000</c:formatCode>
                <c:ptCount val="3"/>
                <c:pt idx="0">
                  <c:v>305.05426999999997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991552"/>
        <c:axId val="232468480"/>
      </c:barChart>
      <c:catAx>
        <c:axId val="231991552"/>
        <c:scaling>
          <c:orientation val="maxMin"/>
        </c:scaling>
        <c:delete val="0"/>
        <c:axPos val="l"/>
        <c:majorTickMark val="out"/>
        <c:minorTickMark val="none"/>
        <c:tickLblPos val="nextTo"/>
        <c:crossAx val="232468480"/>
        <c:crosses val="autoZero"/>
        <c:auto val="1"/>
        <c:lblAlgn val="ctr"/>
        <c:lblOffset val="100"/>
        <c:noMultiLvlLbl val="0"/>
      </c:catAx>
      <c:valAx>
        <c:axId val="23246848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199155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 as a proportion of woodland (based on stocked area)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country'!$C$80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country'!$C$81:$C$95</c:f>
              <c:numCache>
                <c:formatCode>#,##0.00</c:formatCode>
                <c:ptCount val="15"/>
                <c:pt idx="0">
                  <c:v>120.56268</c:v>
                </c:pt>
                <c:pt idx="1">
                  <c:v>3.6722699999999997</c:v>
                </c:pt>
                <c:pt idx="2">
                  <c:v>10.994869999999999</c:v>
                </c:pt>
                <c:pt idx="3">
                  <c:v>11.74943</c:v>
                </c:pt>
                <c:pt idx="4">
                  <c:v>5.0640000000000001</c:v>
                </c:pt>
                <c:pt idx="5">
                  <c:v>2.41018</c:v>
                </c:pt>
                <c:pt idx="6">
                  <c:v>2.25658</c:v>
                </c:pt>
                <c:pt idx="7">
                  <c:v>7.6639900000000001</c:v>
                </c:pt>
                <c:pt idx="8">
                  <c:v>7.1684000000000001</c:v>
                </c:pt>
                <c:pt idx="9">
                  <c:v>5.6257600000000005</c:v>
                </c:pt>
                <c:pt idx="10">
                  <c:v>12.0815</c:v>
                </c:pt>
                <c:pt idx="11">
                  <c:v>10.76736</c:v>
                </c:pt>
                <c:pt idx="12">
                  <c:v>16.62172</c:v>
                </c:pt>
                <c:pt idx="13">
                  <c:v>16.318809999999999</c:v>
                </c:pt>
                <c:pt idx="14">
                  <c:v>8.1678099999999993</c:v>
                </c:pt>
              </c:numCache>
            </c:numRef>
          </c:val>
        </c:ser>
        <c:ser>
          <c:idx val="1"/>
          <c:order val="1"/>
          <c:tx>
            <c:strRef>
              <c:f>'Section 12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country'!$D$81:$D$95</c:f>
              <c:numCache>
                <c:formatCode>#,##0.00</c:formatCode>
                <c:ptCount val="15"/>
                <c:pt idx="0">
                  <c:v>771.92887999999994</c:v>
                </c:pt>
                <c:pt idx="1">
                  <c:v>41.176210000000005</c:v>
                </c:pt>
                <c:pt idx="2">
                  <c:v>70.733779999999996</c:v>
                </c:pt>
                <c:pt idx="3">
                  <c:v>79.109529999999992</c:v>
                </c:pt>
                <c:pt idx="4">
                  <c:v>33.99568</c:v>
                </c:pt>
                <c:pt idx="5">
                  <c:v>21.83935</c:v>
                </c:pt>
                <c:pt idx="6">
                  <c:v>27.809889999999999</c:v>
                </c:pt>
                <c:pt idx="7">
                  <c:v>78.672119999999993</c:v>
                </c:pt>
                <c:pt idx="8">
                  <c:v>31.589210000000001</c:v>
                </c:pt>
                <c:pt idx="9">
                  <c:v>33.2562</c:v>
                </c:pt>
                <c:pt idx="10">
                  <c:v>81.31165</c:v>
                </c:pt>
                <c:pt idx="11">
                  <c:v>62.818579999999997</c:v>
                </c:pt>
                <c:pt idx="12">
                  <c:v>63.782890000000009</c:v>
                </c:pt>
                <c:pt idx="13">
                  <c:v>84.645679999999999</c:v>
                </c:pt>
                <c:pt idx="14">
                  <c:v>61.188109999999995</c:v>
                </c:pt>
              </c:numCache>
            </c:numRef>
          </c:val>
        </c:ser>
        <c:ser>
          <c:idx val="2"/>
          <c:order val="2"/>
          <c:tx>
            <c:strRef>
              <c:f>'Section 12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515072"/>
        <c:axId val="232516608"/>
      </c:barChart>
      <c:catAx>
        <c:axId val="232515072"/>
        <c:scaling>
          <c:orientation val="maxMin"/>
        </c:scaling>
        <c:delete val="0"/>
        <c:axPos val="l"/>
        <c:majorTickMark val="out"/>
        <c:minorTickMark val="none"/>
        <c:tickLblPos val="nextTo"/>
        <c:crossAx val="232516608"/>
        <c:crosses val="autoZero"/>
        <c:auto val="1"/>
        <c:lblAlgn val="ctr"/>
        <c:lblOffset val="100"/>
        <c:noMultiLvlLbl val="0"/>
      </c:catAx>
      <c:valAx>
        <c:axId val="2325166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251507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country'!$C$80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country'!$C$81:$C$95</c:f>
              <c:numCache>
                <c:formatCode>#,##0.00</c:formatCode>
                <c:ptCount val="15"/>
                <c:pt idx="0">
                  <c:v>120.56268</c:v>
                </c:pt>
                <c:pt idx="1">
                  <c:v>3.6722699999999997</c:v>
                </c:pt>
                <c:pt idx="2">
                  <c:v>10.994869999999999</c:v>
                </c:pt>
                <c:pt idx="3">
                  <c:v>11.74943</c:v>
                </c:pt>
                <c:pt idx="4">
                  <c:v>5.0640000000000001</c:v>
                </c:pt>
                <c:pt idx="5">
                  <c:v>2.41018</c:v>
                </c:pt>
                <c:pt idx="6">
                  <c:v>2.25658</c:v>
                </c:pt>
                <c:pt idx="7">
                  <c:v>7.6639900000000001</c:v>
                </c:pt>
                <c:pt idx="8">
                  <c:v>7.1684000000000001</c:v>
                </c:pt>
                <c:pt idx="9">
                  <c:v>5.6257600000000005</c:v>
                </c:pt>
                <c:pt idx="10">
                  <c:v>12.0815</c:v>
                </c:pt>
                <c:pt idx="11">
                  <c:v>10.76736</c:v>
                </c:pt>
                <c:pt idx="12">
                  <c:v>16.62172</c:v>
                </c:pt>
                <c:pt idx="13">
                  <c:v>16.318809999999999</c:v>
                </c:pt>
                <c:pt idx="14">
                  <c:v>8.1678099999999993</c:v>
                </c:pt>
              </c:numCache>
            </c:numRef>
          </c:val>
        </c:ser>
        <c:ser>
          <c:idx val="1"/>
          <c:order val="1"/>
          <c:tx>
            <c:strRef>
              <c:f>'Section 12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country'!$D$81:$D$95</c:f>
              <c:numCache>
                <c:formatCode>#,##0.00</c:formatCode>
                <c:ptCount val="15"/>
                <c:pt idx="0">
                  <c:v>771.92887999999994</c:v>
                </c:pt>
                <c:pt idx="1">
                  <c:v>41.176210000000005</c:v>
                </c:pt>
                <c:pt idx="2">
                  <c:v>70.733779999999996</c:v>
                </c:pt>
                <c:pt idx="3">
                  <c:v>79.109529999999992</c:v>
                </c:pt>
                <c:pt idx="4">
                  <c:v>33.99568</c:v>
                </c:pt>
                <c:pt idx="5">
                  <c:v>21.83935</c:v>
                </c:pt>
                <c:pt idx="6">
                  <c:v>27.809889999999999</c:v>
                </c:pt>
                <c:pt idx="7">
                  <c:v>78.672119999999993</c:v>
                </c:pt>
                <c:pt idx="8">
                  <c:v>31.589210000000001</c:v>
                </c:pt>
                <c:pt idx="9">
                  <c:v>33.2562</c:v>
                </c:pt>
                <c:pt idx="10">
                  <c:v>81.31165</c:v>
                </c:pt>
                <c:pt idx="11">
                  <c:v>62.818579999999997</c:v>
                </c:pt>
                <c:pt idx="12">
                  <c:v>63.782890000000009</c:v>
                </c:pt>
                <c:pt idx="13">
                  <c:v>84.645679999999999</c:v>
                </c:pt>
                <c:pt idx="14">
                  <c:v>61.188109999999995</c:v>
                </c:pt>
              </c:numCache>
            </c:numRef>
          </c:val>
        </c:ser>
        <c:ser>
          <c:idx val="2"/>
          <c:order val="2"/>
          <c:tx>
            <c:strRef>
              <c:f>'Section 12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584320"/>
        <c:axId val="232585856"/>
      </c:barChart>
      <c:catAx>
        <c:axId val="232584320"/>
        <c:scaling>
          <c:orientation val="maxMin"/>
        </c:scaling>
        <c:delete val="0"/>
        <c:axPos val="l"/>
        <c:majorTickMark val="out"/>
        <c:minorTickMark val="none"/>
        <c:tickLblPos val="nextTo"/>
        <c:crossAx val="232585856"/>
        <c:crosses val="autoZero"/>
        <c:auto val="1"/>
        <c:lblAlgn val="ctr"/>
        <c:lblOffset val="100"/>
        <c:noMultiLvlLbl val="0"/>
      </c:catAx>
      <c:valAx>
        <c:axId val="23258585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258432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 as a proportion of woodland (based on standing volume)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country'!$J$80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country'!$J$81:$J$95</c:f>
              <c:numCache>
                <c:formatCode>#,##0.00</c:formatCode>
                <c:ptCount val="15"/>
                <c:pt idx="0">
                  <c:v>29721.885000000002</c:v>
                </c:pt>
                <c:pt idx="1">
                  <c:v>731.78899999999999</c:v>
                </c:pt>
                <c:pt idx="2">
                  <c:v>2535.127</c:v>
                </c:pt>
                <c:pt idx="3">
                  <c:v>2361.6689999999999</c:v>
                </c:pt>
                <c:pt idx="4">
                  <c:v>1326.6619999999998</c:v>
                </c:pt>
                <c:pt idx="5">
                  <c:v>201.88799999999998</c:v>
                </c:pt>
                <c:pt idx="6">
                  <c:v>364.428</c:v>
                </c:pt>
                <c:pt idx="7">
                  <c:v>2146.5530000000003</c:v>
                </c:pt>
                <c:pt idx="8">
                  <c:v>2060.2179999999998</c:v>
                </c:pt>
                <c:pt idx="9">
                  <c:v>748.08199999999999</c:v>
                </c:pt>
                <c:pt idx="10">
                  <c:v>3270.5929999999998</c:v>
                </c:pt>
                <c:pt idx="11">
                  <c:v>2798.4459999999999</c:v>
                </c:pt>
                <c:pt idx="12">
                  <c:v>4441.107</c:v>
                </c:pt>
                <c:pt idx="13">
                  <c:v>5185.8240000000005</c:v>
                </c:pt>
                <c:pt idx="14">
                  <c:v>1549.499</c:v>
                </c:pt>
              </c:numCache>
            </c:numRef>
          </c:val>
        </c:ser>
        <c:ser>
          <c:idx val="1"/>
          <c:order val="1"/>
          <c:tx>
            <c:strRef>
              <c:f>'Section 12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country'!$K$81:$K$95</c:f>
              <c:numCache>
                <c:formatCode>#,##0.00</c:formatCode>
                <c:ptCount val="15"/>
                <c:pt idx="0">
                  <c:v>148220.212</c:v>
                </c:pt>
                <c:pt idx="1">
                  <c:v>6993.9320000000007</c:v>
                </c:pt>
                <c:pt idx="2">
                  <c:v>14915.993000000002</c:v>
                </c:pt>
                <c:pt idx="3">
                  <c:v>13819.540999999999</c:v>
                </c:pt>
                <c:pt idx="4">
                  <c:v>4821.9680000000008</c:v>
                </c:pt>
                <c:pt idx="5">
                  <c:v>3844.3700000000003</c:v>
                </c:pt>
                <c:pt idx="6">
                  <c:v>5124.8149999999996</c:v>
                </c:pt>
                <c:pt idx="7">
                  <c:v>15075.222000000002</c:v>
                </c:pt>
                <c:pt idx="8">
                  <c:v>5344.5739999999996</c:v>
                </c:pt>
                <c:pt idx="9">
                  <c:v>4808.6339999999991</c:v>
                </c:pt>
                <c:pt idx="10">
                  <c:v>18584.132999999998</c:v>
                </c:pt>
                <c:pt idx="11">
                  <c:v>13892.905999999999</c:v>
                </c:pt>
                <c:pt idx="12">
                  <c:v>13423.091</c:v>
                </c:pt>
                <c:pt idx="13">
                  <c:v>17533.031999999999</c:v>
                </c:pt>
                <c:pt idx="14">
                  <c:v>10038.001</c:v>
                </c:pt>
              </c:numCache>
            </c:numRef>
          </c:val>
        </c:ser>
        <c:ser>
          <c:idx val="2"/>
          <c:order val="2"/>
          <c:tx>
            <c:strRef>
              <c:f>'Section 12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472576"/>
        <c:axId val="190474112"/>
      </c:barChart>
      <c:catAx>
        <c:axId val="190472576"/>
        <c:scaling>
          <c:orientation val="maxMin"/>
        </c:scaling>
        <c:delete val="0"/>
        <c:axPos val="l"/>
        <c:majorTickMark val="out"/>
        <c:minorTickMark val="none"/>
        <c:tickLblPos val="nextTo"/>
        <c:crossAx val="190474112"/>
        <c:crosses val="autoZero"/>
        <c:auto val="1"/>
        <c:lblAlgn val="ctr"/>
        <c:lblOffset val="100"/>
        <c:noMultiLvlLbl val="0"/>
      </c:catAx>
      <c:valAx>
        <c:axId val="1904741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9047257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country'!$J$80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country'!$J$81:$J$95</c:f>
              <c:numCache>
                <c:formatCode>#,##0.00</c:formatCode>
                <c:ptCount val="15"/>
                <c:pt idx="0">
                  <c:v>29721.885000000002</c:v>
                </c:pt>
                <c:pt idx="1">
                  <c:v>731.78899999999999</c:v>
                </c:pt>
                <c:pt idx="2">
                  <c:v>2535.127</c:v>
                </c:pt>
                <c:pt idx="3">
                  <c:v>2361.6689999999999</c:v>
                </c:pt>
                <c:pt idx="4">
                  <c:v>1326.6619999999998</c:v>
                </c:pt>
                <c:pt idx="5">
                  <c:v>201.88799999999998</c:v>
                </c:pt>
                <c:pt idx="6">
                  <c:v>364.428</c:v>
                </c:pt>
                <c:pt idx="7">
                  <c:v>2146.5530000000003</c:v>
                </c:pt>
                <c:pt idx="8">
                  <c:v>2060.2179999999998</c:v>
                </c:pt>
                <c:pt idx="9">
                  <c:v>748.08199999999999</c:v>
                </c:pt>
                <c:pt idx="10">
                  <c:v>3270.5929999999998</c:v>
                </c:pt>
                <c:pt idx="11">
                  <c:v>2798.4459999999999</c:v>
                </c:pt>
                <c:pt idx="12">
                  <c:v>4441.107</c:v>
                </c:pt>
                <c:pt idx="13">
                  <c:v>5185.8240000000005</c:v>
                </c:pt>
                <c:pt idx="14">
                  <c:v>1549.499</c:v>
                </c:pt>
              </c:numCache>
            </c:numRef>
          </c:val>
        </c:ser>
        <c:ser>
          <c:idx val="1"/>
          <c:order val="1"/>
          <c:tx>
            <c:strRef>
              <c:f>'Section 12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country'!$K$81:$K$95</c:f>
              <c:numCache>
                <c:formatCode>#,##0.00</c:formatCode>
                <c:ptCount val="15"/>
                <c:pt idx="0">
                  <c:v>148220.212</c:v>
                </c:pt>
                <c:pt idx="1">
                  <c:v>6993.9320000000007</c:v>
                </c:pt>
                <c:pt idx="2">
                  <c:v>14915.993000000002</c:v>
                </c:pt>
                <c:pt idx="3">
                  <c:v>13819.540999999999</c:v>
                </c:pt>
                <c:pt idx="4">
                  <c:v>4821.9680000000008</c:v>
                </c:pt>
                <c:pt idx="5">
                  <c:v>3844.3700000000003</c:v>
                </c:pt>
                <c:pt idx="6">
                  <c:v>5124.8149999999996</c:v>
                </c:pt>
                <c:pt idx="7">
                  <c:v>15075.222000000002</c:v>
                </c:pt>
                <c:pt idx="8">
                  <c:v>5344.5739999999996</c:v>
                </c:pt>
                <c:pt idx="9">
                  <c:v>4808.6339999999991</c:v>
                </c:pt>
                <c:pt idx="10">
                  <c:v>18584.132999999998</c:v>
                </c:pt>
                <c:pt idx="11">
                  <c:v>13892.905999999999</c:v>
                </c:pt>
                <c:pt idx="12">
                  <c:v>13423.091</c:v>
                </c:pt>
                <c:pt idx="13">
                  <c:v>17533.031999999999</c:v>
                </c:pt>
                <c:pt idx="14">
                  <c:v>10038.001</c:v>
                </c:pt>
              </c:numCache>
            </c:numRef>
          </c:val>
        </c:ser>
        <c:ser>
          <c:idx val="2"/>
          <c:order val="2"/>
          <c:tx>
            <c:strRef>
              <c:f>'Section 12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210432"/>
        <c:axId val="232211968"/>
      </c:barChart>
      <c:catAx>
        <c:axId val="232210432"/>
        <c:scaling>
          <c:orientation val="maxMin"/>
        </c:scaling>
        <c:delete val="0"/>
        <c:axPos val="l"/>
        <c:majorTickMark val="out"/>
        <c:minorTickMark val="none"/>
        <c:tickLblPos val="nextTo"/>
        <c:crossAx val="232211968"/>
        <c:crosses val="autoZero"/>
        <c:auto val="1"/>
        <c:lblAlgn val="ctr"/>
        <c:lblOffset val="100"/>
        <c:noMultiLvlLbl val="0"/>
      </c:catAx>
      <c:valAx>
        <c:axId val="2322119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221043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 as a proportion of woodland (based on number of trees)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country'!$Q$80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country'!$Q$81:$Q$95</c:f>
              <c:numCache>
                <c:formatCode>#,##0.00</c:formatCode>
                <c:ptCount val="15"/>
                <c:pt idx="0">
                  <c:v>115581.29</c:v>
                </c:pt>
                <c:pt idx="1">
                  <c:v>3968.0990000000002</c:v>
                </c:pt>
                <c:pt idx="2">
                  <c:v>12002.637000000001</c:v>
                </c:pt>
                <c:pt idx="3">
                  <c:v>12982.287</c:v>
                </c:pt>
                <c:pt idx="4">
                  <c:v>4799.7560000000003</c:v>
                </c:pt>
                <c:pt idx="5">
                  <c:v>1413.7660000000001</c:v>
                </c:pt>
                <c:pt idx="6">
                  <c:v>2462.9839999999999</c:v>
                </c:pt>
                <c:pt idx="7">
                  <c:v>9149.7019999999993</c:v>
                </c:pt>
                <c:pt idx="8">
                  <c:v>6741.192</c:v>
                </c:pt>
                <c:pt idx="9">
                  <c:v>5919.2659999999996</c:v>
                </c:pt>
                <c:pt idx="10">
                  <c:v>10112.77</c:v>
                </c:pt>
                <c:pt idx="11">
                  <c:v>9242.4510000000009</c:v>
                </c:pt>
                <c:pt idx="12">
                  <c:v>13621.244000000001</c:v>
                </c:pt>
                <c:pt idx="13">
                  <c:v>14319.084999999999</c:v>
                </c:pt>
                <c:pt idx="14">
                  <c:v>8846.0510000000013</c:v>
                </c:pt>
              </c:numCache>
            </c:numRef>
          </c:val>
        </c:ser>
        <c:ser>
          <c:idx val="1"/>
          <c:order val="1"/>
          <c:tx>
            <c:strRef>
              <c:f>'Section 12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country'!$R$81:$R$95</c:f>
              <c:numCache>
                <c:formatCode>#,##0.00</c:formatCode>
                <c:ptCount val="15"/>
                <c:pt idx="0">
                  <c:v>925897.41599999997</c:v>
                </c:pt>
                <c:pt idx="1">
                  <c:v>45523.182999999997</c:v>
                </c:pt>
                <c:pt idx="2">
                  <c:v>89033.531000000003</c:v>
                </c:pt>
                <c:pt idx="3">
                  <c:v>86671.574000000008</c:v>
                </c:pt>
                <c:pt idx="4">
                  <c:v>36622.639999999999</c:v>
                </c:pt>
                <c:pt idx="5">
                  <c:v>20274.511999999999</c:v>
                </c:pt>
                <c:pt idx="6">
                  <c:v>25508.563999999998</c:v>
                </c:pt>
                <c:pt idx="7">
                  <c:v>116098.67199999999</c:v>
                </c:pt>
                <c:pt idx="8">
                  <c:v>39440.556999999993</c:v>
                </c:pt>
                <c:pt idx="9">
                  <c:v>44455.070999999996</c:v>
                </c:pt>
                <c:pt idx="10">
                  <c:v>98762.245999999999</c:v>
                </c:pt>
                <c:pt idx="11">
                  <c:v>73707.267999999996</c:v>
                </c:pt>
                <c:pt idx="12">
                  <c:v>76396.786999999997</c:v>
                </c:pt>
                <c:pt idx="13">
                  <c:v>103875.91800000001</c:v>
                </c:pt>
                <c:pt idx="14">
                  <c:v>69526.892999999996</c:v>
                </c:pt>
              </c:numCache>
            </c:numRef>
          </c:val>
        </c:ser>
        <c:ser>
          <c:idx val="2"/>
          <c:order val="2"/>
          <c:tx>
            <c:strRef>
              <c:f>'Section 12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279040"/>
        <c:axId val="232305408"/>
      </c:barChart>
      <c:catAx>
        <c:axId val="232279040"/>
        <c:scaling>
          <c:orientation val="maxMin"/>
        </c:scaling>
        <c:delete val="0"/>
        <c:axPos val="l"/>
        <c:majorTickMark val="out"/>
        <c:minorTickMark val="none"/>
        <c:tickLblPos val="nextTo"/>
        <c:crossAx val="232305408"/>
        <c:crosses val="autoZero"/>
        <c:auto val="1"/>
        <c:lblAlgn val="ctr"/>
        <c:lblOffset val="100"/>
        <c:noMultiLvlLbl val="0"/>
      </c:catAx>
      <c:valAx>
        <c:axId val="2323054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227904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 country'!$Q$80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country'!$Q$81:$Q$95</c:f>
              <c:numCache>
                <c:formatCode>#,##0.00</c:formatCode>
                <c:ptCount val="15"/>
                <c:pt idx="0">
                  <c:v>115581.29</c:v>
                </c:pt>
                <c:pt idx="1">
                  <c:v>3968.0990000000002</c:v>
                </c:pt>
                <c:pt idx="2">
                  <c:v>12002.637000000001</c:v>
                </c:pt>
                <c:pt idx="3">
                  <c:v>12982.287</c:v>
                </c:pt>
                <c:pt idx="4">
                  <c:v>4799.7560000000003</c:v>
                </c:pt>
                <c:pt idx="5">
                  <c:v>1413.7660000000001</c:v>
                </c:pt>
                <c:pt idx="6">
                  <c:v>2462.9839999999999</c:v>
                </c:pt>
                <c:pt idx="7">
                  <c:v>9149.7019999999993</c:v>
                </c:pt>
                <c:pt idx="8">
                  <c:v>6741.192</c:v>
                </c:pt>
                <c:pt idx="9">
                  <c:v>5919.2659999999996</c:v>
                </c:pt>
                <c:pt idx="10">
                  <c:v>10112.77</c:v>
                </c:pt>
                <c:pt idx="11">
                  <c:v>9242.4510000000009</c:v>
                </c:pt>
                <c:pt idx="12">
                  <c:v>13621.244000000001</c:v>
                </c:pt>
                <c:pt idx="13">
                  <c:v>14319.084999999999</c:v>
                </c:pt>
                <c:pt idx="14">
                  <c:v>8846.0510000000013</c:v>
                </c:pt>
              </c:numCache>
            </c:numRef>
          </c:val>
        </c:ser>
        <c:ser>
          <c:idx val="1"/>
          <c:order val="1"/>
          <c:tx>
            <c:strRef>
              <c:f>'Section 12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country'!$R$81:$R$95</c:f>
              <c:numCache>
                <c:formatCode>#,##0.00</c:formatCode>
                <c:ptCount val="15"/>
                <c:pt idx="0">
                  <c:v>925897.41599999997</c:v>
                </c:pt>
                <c:pt idx="1">
                  <c:v>45523.182999999997</c:v>
                </c:pt>
                <c:pt idx="2">
                  <c:v>89033.531000000003</c:v>
                </c:pt>
                <c:pt idx="3">
                  <c:v>86671.574000000008</c:v>
                </c:pt>
                <c:pt idx="4">
                  <c:v>36622.639999999999</c:v>
                </c:pt>
                <c:pt idx="5">
                  <c:v>20274.511999999999</c:v>
                </c:pt>
                <c:pt idx="6">
                  <c:v>25508.563999999998</c:v>
                </c:pt>
                <c:pt idx="7">
                  <c:v>116098.67199999999</c:v>
                </c:pt>
                <c:pt idx="8">
                  <c:v>39440.556999999993</c:v>
                </c:pt>
                <c:pt idx="9">
                  <c:v>44455.070999999996</c:v>
                </c:pt>
                <c:pt idx="10">
                  <c:v>98762.245999999999</c:v>
                </c:pt>
                <c:pt idx="11">
                  <c:v>73707.267999999996</c:v>
                </c:pt>
                <c:pt idx="12">
                  <c:v>76396.786999999997</c:v>
                </c:pt>
                <c:pt idx="13">
                  <c:v>103875.91800000001</c:v>
                </c:pt>
                <c:pt idx="14">
                  <c:v>69526.892999999996</c:v>
                </c:pt>
              </c:numCache>
            </c:numRef>
          </c:val>
        </c:ser>
        <c:ser>
          <c:idx val="2"/>
          <c:order val="2"/>
          <c:tx>
            <c:strRef>
              <c:f>'Section 12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12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368768"/>
        <c:axId val="232386944"/>
      </c:barChart>
      <c:catAx>
        <c:axId val="232368768"/>
        <c:scaling>
          <c:orientation val="maxMin"/>
        </c:scaling>
        <c:delete val="0"/>
        <c:axPos val="l"/>
        <c:majorTickMark val="out"/>
        <c:minorTickMark val="none"/>
        <c:tickLblPos val="nextTo"/>
        <c:crossAx val="232386944"/>
        <c:crosses val="autoZero"/>
        <c:auto val="1"/>
        <c:lblAlgn val="ctr"/>
        <c:lblOffset val="100"/>
        <c:noMultiLvlLbl val="0"/>
      </c:catAx>
      <c:valAx>
        <c:axId val="23238694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236876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oak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data'!$C$13:$C$19</c:f>
              <c:numCache>
                <c:formatCode>#,##0.00</c:formatCode>
                <c:ptCount val="7"/>
                <c:pt idx="0">
                  <c:v>0.52315</c:v>
                </c:pt>
                <c:pt idx="1">
                  <c:v>0.21994999999999998</c:v>
                </c:pt>
                <c:pt idx="2">
                  <c:v>0.21438000000000001</c:v>
                </c:pt>
                <c:pt idx="3">
                  <c:v>0.87028000000000005</c:v>
                </c:pt>
                <c:pt idx="4">
                  <c:v>0.96494000000000002</c:v>
                </c:pt>
                <c:pt idx="5">
                  <c:v>0.37048000000000003</c:v>
                </c:pt>
                <c:pt idx="6">
                  <c:v>0.10539000000000001</c:v>
                </c:pt>
              </c:numCache>
            </c:numRef>
          </c:val>
        </c:ser>
        <c:ser>
          <c:idx val="1"/>
          <c:order val="1"/>
          <c:tx>
            <c:strRef>
              <c:f>'Section 13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data'!$F$13:$F$19</c:f>
                <c:numCache>
                  <c:formatCode>General</c:formatCode>
                  <c:ptCount val="7"/>
                  <c:pt idx="0">
                    <c:v>0.68009137619983207</c:v>
                  </c:pt>
                  <c:pt idx="1">
                    <c:v>0.76201952914720261</c:v>
                  </c:pt>
                  <c:pt idx="2">
                    <c:v>1.3215026197791291</c:v>
                  </c:pt>
                  <c:pt idx="3">
                    <c:v>1.4635271630935447</c:v>
                  </c:pt>
                  <c:pt idx="4">
                    <c:v>1.9327576257997086</c:v>
                  </c:pt>
                  <c:pt idx="5">
                    <c:v>2.144959700196837</c:v>
                  </c:pt>
                  <c:pt idx="6">
                    <c:v>1.7830384909492674</c:v>
                  </c:pt>
                </c:numCache>
              </c:numRef>
            </c:plus>
            <c:minus>
              <c:numRef>
                <c:f>'Section 13 data'!$F$13:$F$19</c:f>
                <c:numCache>
                  <c:formatCode>General</c:formatCode>
                  <c:ptCount val="7"/>
                  <c:pt idx="0">
                    <c:v>0.68009137619983207</c:v>
                  </c:pt>
                  <c:pt idx="1">
                    <c:v>0.76201952914720261</c:v>
                  </c:pt>
                  <c:pt idx="2">
                    <c:v>1.3215026197791291</c:v>
                  </c:pt>
                  <c:pt idx="3">
                    <c:v>1.4635271630935447</c:v>
                  </c:pt>
                  <c:pt idx="4">
                    <c:v>1.9327576257997086</c:v>
                  </c:pt>
                  <c:pt idx="5">
                    <c:v>2.144959700196837</c:v>
                  </c:pt>
                  <c:pt idx="6">
                    <c:v>1.7830384909492674</c:v>
                  </c:pt>
                </c:numCache>
              </c:numRef>
            </c:minus>
          </c:errBars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data'!$D$13:$D$19</c:f>
              <c:numCache>
                <c:formatCode>#,##0.00</c:formatCode>
                <c:ptCount val="7"/>
                <c:pt idx="0">
                  <c:v>6.7045200000000005</c:v>
                </c:pt>
                <c:pt idx="1">
                  <c:v>9.988050000000003</c:v>
                </c:pt>
                <c:pt idx="2">
                  <c:v>22.206239999999998</c:v>
                </c:pt>
                <c:pt idx="3">
                  <c:v>20.571140000000003</c:v>
                </c:pt>
                <c:pt idx="4">
                  <c:v>28.67586</c:v>
                </c:pt>
                <c:pt idx="5">
                  <c:v>36.610960000000006</c:v>
                </c:pt>
                <c:pt idx="6">
                  <c:v>25.957989999999999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318656"/>
        <c:axId val="233324544"/>
      </c:barChart>
      <c:catAx>
        <c:axId val="23331865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324544"/>
        <c:crosses val="autoZero"/>
        <c:auto val="1"/>
        <c:lblAlgn val="ctr"/>
        <c:lblOffset val="100"/>
        <c:noMultiLvlLbl val="0"/>
      </c:catAx>
      <c:valAx>
        <c:axId val="23332454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31865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doughnutChart>
        <c:varyColors val="1"/>
        <c:ser>
          <c:idx val="0"/>
          <c:order val="0"/>
          <c:tx>
            <c:strRef>
              <c:f>'Eng Table 6'!$C$5:$D$5</c:f>
              <c:strCache>
                <c:ptCount val="1"/>
                <c:pt idx="0">
                  <c:v>Forestry Commission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5.7157745353368782E-2"/>
                  <c:y val="-0.217012665221837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 anchor="ctr" anchorCtr="0"/>
              <a:lstStyle/>
              <a:p>
                <a:pPr>
                  <a:defRPr sz="1400" baseline="0">
                    <a:latin typeface="Verdana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'Eng Table 6'!$B$8:$B$22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6'!$C$8:$C$22</c:f>
              <c:numCache>
                <c:formatCode>#,##0</c:formatCode>
                <c:ptCount val="15"/>
                <c:pt idx="0">
                  <c:v>43792.597471614601</c:v>
                </c:pt>
                <c:pt idx="1">
                  <c:v>126880.2700332864</c:v>
                </c:pt>
                <c:pt idx="2">
                  <c:v>11074.981260986973</c:v>
                </c:pt>
                <c:pt idx="3">
                  <c:v>3827.8855608136787</c:v>
                </c:pt>
                <c:pt idx="4">
                  <c:v>2206.0359298092799</c:v>
                </c:pt>
                <c:pt idx="5">
                  <c:v>2770.343592930632</c:v>
                </c:pt>
                <c:pt idx="6">
                  <c:v>21902.016843576774</c:v>
                </c:pt>
                <c:pt idx="7">
                  <c:v>159.70865044055941</c:v>
                </c:pt>
                <c:pt idx="8">
                  <c:v>5.4658092731199996</c:v>
                </c:pt>
                <c:pt idx="9">
                  <c:v>119.14048196458486</c:v>
                </c:pt>
                <c:pt idx="10">
                  <c:v>1086.051515201463</c:v>
                </c:pt>
                <c:pt idx="11">
                  <c:v>595.48377248391398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'Eng Table 6'!$E$5:$F$5</c:f>
              <c:strCache>
                <c:ptCount val="1"/>
                <c:pt idx="0">
                  <c:v>Other ownership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3.9773969615605302E-2"/>
                  <c:y val="0.10675570805308725"/>
                </c:manualLayout>
              </c:layout>
              <c:tx>
                <c:rich>
                  <a:bodyPr anchor="ctr" anchorCtr="0"/>
                  <a:lstStyle/>
                  <a:p>
                    <a:pPr>
                      <a:defRPr sz="1400"/>
                    </a:pPr>
                    <a:r>
                      <a:rPr lang="en-US" sz="1400" baseline="0">
                        <a:latin typeface="Verdana" pitchFamily="34" charset="0"/>
                      </a:rPr>
                      <a:t>Other </a:t>
                    </a:r>
                  </a:p>
                  <a:p>
                    <a:pPr>
                      <a:defRPr sz="1400"/>
                    </a:pPr>
                    <a:r>
                      <a:rPr lang="en-US" sz="1400" baseline="0">
                        <a:latin typeface="Verdana" pitchFamily="34" charset="0"/>
                      </a:rPr>
                      <a:t>ownership</a:t>
                    </a:r>
                    <a:endParaRPr lang="en-US" baseline="0">
                      <a:latin typeface="Verdana" pitchFamily="34" charset="0"/>
                    </a:endParaRP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'Eng Table 6'!$B$8:$B$22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'Eng Table 6'!$E$8:$E$22</c:f>
              <c:numCache>
                <c:formatCode>#,##0</c:formatCode>
                <c:ptCount val="15"/>
                <c:pt idx="0">
                  <c:v>743202.63367146603</c:v>
                </c:pt>
                <c:pt idx="1">
                  <c:v>189294.36625953682</c:v>
                </c:pt>
                <c:pt idx="2">
                  <c:v>9181.7921241813256</c:v>
                </c:pt>
                <c:pt idx="3">
                  <c:v>5572.2680160499094</c:v>
                </c:pt>
                <c:pt idx="4">
                  <c:v>19958.789771588901</c:v>
                </c:pt>
                <c:pt idx="5">
                  <c:v>25512.205390203781</c:v>
                </c:pt>
                <c:pt idx="6">
                  <c:v>53323.22470173004</c:v>
                </c:pt>
                <c:pt idx="7">
                  <c:v>2174.7720521985307</c:v>
                </c:pt>
                <c:pt idx="8">
                  <c:v>153.83582332532501</c:v>
                </c:pt>
                <c:pt idx="9">
                  <c:v>4780.8480001917114</c:v>
                </c:pt>
                <c:pt idx="10">
                  <c:v>26478.241961867301</c:v>
                </c:pt>
                <c:pt idx="11">
                  <c:v>3598.5862828164245</c:v>
                </c:pt>
                <c:pt idx="12">
                  <c:v>0.48075545800000002</c:v>
                </c:pt>
                <c:pt idx="13">
                  <c:v>0</c:v>
                </c:pt>
                <c:pt idx="14">
                  <c:v>13.4932983475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data'!$C$13:$C$19</c:f>
              <c:numCache>
                <c:formatCode>#,##0.00</c:formatCode>
                <c:ptCount val="7"/>
                <c:pt idx="0">
                  <c:v>0.52315</c:v>
                </c:pt>
                <c:pt idx="1">
                  <c:v>0.21994999999999998</c:v>
                </c:pt>
                <c:pt idx="2">
                  <c:v>0.21438000000000001</c:v>
                </c:pt>
                <c:pt idx="3">
                  <c:v>0.87028000000000005</c:v>
                </c:pt>
                <c:pt idx="4">
                  <c:v>0.96494000000000002</c:v>
                </c:pt>
                <c:pt idx="5">
                  <c:v>0.37048000000000003</c:v>
                </c:pt>
                <c:pt idx="6">
                  <c:v>0.10539000000000001</c:v>
                </c:pt>
              </c:numCache>
            </c:numRef>
          </c:val>
        </c:ser>
        <c:ser>
          <c:idx val="1"/>
          <c:order val="1"/>
          <c:tx>
            <c:strRef>
              <c:f>'Section 13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data'!$F$13:$F$19</c:f>
                <c:numCache>
                  <c:formatCode>General</c:formatCode>
                  <c:ptCount val="7"/>
                  <c:pt idx="0">
                    <c:v>0.68009137619983207</c:v>
                  </c:pt>
                  <c:pt idx="1">
                    <c:v>0.76201952914720261</c:v>
                  </c:pt>
                  <c:pt idx="2">
                    <c:v>1.3215026197791291</c:v>
                  </c:pt>
                  <c:pt idx="3">
                    <c:v>1.4635271630935447</c:v>
                  </c:pt>
                  <c:pt idx="4">
                    <c:v>1.9327576257997086</c:v>
                  </c:pt>
                  <c:pt idx="5">
                    <c:v>2.144959700196837</c:v>
                  </c:pt>
                  <c:pt idx="6">
                    <c:v>1.7830384909492674</c:v>
                  </c:pt>
                </c:numCache>
              </c:numRef>
            </c:plus>
            <c:minus>
              <c:numRef>
                <c:f>'Section 13 data'!$F$13:$F$19</c:f>
                <c:numCache>
                  <c:formatCode>General</c:formatCode>
                  <c:ptCount val="7"/>
                  <c:pt idx="0">
                    <c:v>0.68009137619983207</c:v>
                  </c:pt>
                  <c:pt idx="1">
                    <c:v>0.76201952914720261</c:v>
                  </c:pt>
                  <c:pt idx="2">
                    <c:v>1.3215026197791291</c:v>
                  </c:pt>
                  <c:pt idx="3">
                    <c:v>1.4635271630935447</c:v>
                  </c:pt>
                  <c:pt idx="4">
                    <c:v>1.9327576257997086</c:v>
                  </c:pt>
                  <c:pt idx="5">
                    <c:v>2.144959700196837</c:v>
                  </c:pt>
                  <c:pt idx="6">
                    <c:v>1.7830384909492674</c:v>
                  </c:pt>
                </c:numCache>
              </c:numRef>
            </c:minus>
          </c:errBars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data'!$D$13:$D$19</c:f>
              <c:numCache>
                <c:formatCode>#,##0.00</c:formatCode>
                <c:ptCount val="7"/>
                <c:pt idx="0">
                  <c:v>6.7045200000000005</c:v>
                </c:pt>
                <c:pt idx="1">
                  <c:v>9.988050000000003</c:v>
                </c:pt>
                <c:pt idx="2">
                  <c:v>22.206239999999998</c:v>
                </c:pt>
                <c:pt idx="3">
                  <c:v>20.571140000000003</c:v>
                </c:pt>
                <c:pt idx="4">
                  <c:v>28.67586</c:v>
                </c:pt>
                <c:pt idx="5">
                  <c:v>36.610960000000006</c:v>
                </c:pt>
                <c:pt idx="6">
                  <c:v>25.957989999999999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675200"/>
        <c:axId val="232676736"/>
      </c:barChart>
      <c:catAx>
        <c:axId val="2326752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2676736"/>
        <c:crosses val="autoZero"/>
        <c:auto val="1"/>
        <c:lblAlgn val="ctr"/>
        <c:lblOffset val="100"/>
        <c:noMultiLvlLbl val="0"/>
      </c:catAx>
      <c:valAx>
        <c:axId val="2326767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26752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oak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data'!$C$24:$C$32</c:f>
              <c:numCache>
                <c:formatCode>#,##0.00</c:formatCode>
                <c:ptCount val="9"/>
                <c:pt idx="0">
                  <c:v>1.08599</c:v>
                </c:pt>
                <c:pt idx="1">
                  <c:v>1.1146399999999999</c:v>
                </c:pt>
                <c:pt idx="2">
                  <c:v>0.79662000000000011</c:v>
                </c:pt>
                <c:pt idx="3">
                  <c:v>2.0587999999999997</c:v>
                </c:pt>
                <c:pt idx="4">
                  <c:v>6.5745900000000015</c:v>
                </c:pt>
                <c:pt idx="5">
                  <c:v>1.8216399999999999</c:v>
                </c:pt>
                <c:pt idx="6">
                  <c:v>1.8857900000000003</c:v>
                </c:pt>
                <c:pt idx="7">
                  <c:v>0.31593000000000004</c:v>
                </c:pt>
                <c:pt idx="8">
                  <c:v>3.7980000000000007E-2</c:v>
                </c:pt>
              </c:numCache>
            </c:numRef>
          </c:val>
        </c:ser>
        <c:ser>
          <c:idx val="1"/>
          <c:order val="1"/>
          <c:tx>
            <c:strRef>
              <c:f>'Section 13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data'!$F$24:$F$32</c:f>
                <c:numCache>
                  <c:formatCode>General</c:formatCode>
                  <c:ptCount val="9"/>
                  <c:pt idx="0">
                    <c:v>0.80103953114047699</c:v>
                  </c:pt>
                  <c:pt idx="1">
                    <c:v>0.53896424748791893</c:v>
                  </c:pt>
                  <c:pt idx="2">
                    <c:v>0.85446271066053248</c:v>
                  </c:pt>
                  <c:pt idx="3">
                    <c:v>1.0821898996530743</c:v>
                  </c:pt>
                  <c:pt idx="4">
                    <c:v>1.5596405358166867</c:v>
                  </c:pt>
                  <c:pt idx="5">
                    <c:v>1.4936509141810985</c:v>
                  </c:pt>
                  <c:pt idx="6">
                    <c:v>2.1506417530137631</c:v>
                  </c:pt>
                  <c:pt idx="7">
                    <c:v>1.4557377239146334</c:v>
                  </c:pt>
                  <c:pt idx="8">
                    <c:v>1.3778095005316624</c:v>
                  </c:pt>
                </c:numCache>
              </c:numRef>
            </c:plus>
            <c:minus>
              <c:numRef>
                <c:f>'Section 13 data'!$F$24:$F$32</c:f>
                <c:numCache>
                  <c:formatCode>General</c:formatCode>
                  <c:ptCount val="9"/>
                  <c:pt idx="0">
                    <c:v>0.80103953114047699</c:v>
                  </c:pt>
                  <c:pt idx="1">
                    <c:v>0.53896424748791893</c:v>
                  </c:pt>
                  <c:pt idx="2">
                    <c:v>0.85446271066053248</c:v>
                  </c:pt>
                  <c:pt idx="3">
                    <c:v>1.0821898996530743</c:v>
                  </c:pt>
                  <c:pt idx="4">
                    <c:v>1.5596405358166867</c:v>
                  </c:pt>
                  <c:pt idx="5">
                    <c:v>1.4936509141810985</c:v>
                  </c:pt>
                  <c:pt idx="6">
                    <c:v>2.1506417530137631</c:v>
                  </c:pt>
                  <c:pt idx="7">
                    <c:v>1.4557377239146334</c:v>
                  </c:pt>
                  <c:pt idx="8">
                    <c:v>1.3778095005316624</c:v>
                  </c:pt>
                </c:numCache>
              </c:numRef>
            </c:minus>
          </c:errBars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data'!$D$24:$D$32</c:f>
              <c:numCache>
                <c:formatCode>#,##0.00</c:formatCode>
                <c:ptCount val="9"/>
                <c:pt idx="0">
                  <c:v>12.032980000000002</c:v>
                </c:pt>
                <c:pt idx="1">
                  <c:v>5.8703700000000021</c:v>
                </c:pt>
                <c:pt idx="2">
                  <c:v>9.5478699999999996</c:v>
                </c:pt>
                <c:pt idx="3">
                  <c:v>11.631609999999998</c:v>
                </c:pt>
                <c:pt idx="4">
                  <c:v>24.028780000000001</c:v>
                </c:pt>
                <c:pt idx="5">
                  <c:v>19.319609999999997</c:v>
                </c:pt>
                <c:pt idx="6">
                  <c:v>38.712870000000002</c:v>
                </c:pt>
                <c:pt idx="7">
                  <c:v>18.124949999999998</c:v>
                </c:pt>
                <c:pt idx="8">
                  <c:v>11.445690000000001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859520"/>
        <c:axId val="232861056"/>
      </c:barChart>
      <c:catAx>
        <c:axId val="2328595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2861056"/>
        <c:crosses val="autoZero"/>
        <c:auto val="1"/>
        <c:lblAlgn val="ctr"/>
        <c:lblOffset val="100"/>
        <c:noMultiLvlLbl val="0"/>
      </c:catAx>
      <c:valAx>
        <c:axId val="23286105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28595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data'!$C$24:$C$32</c:f>
              <c:numCache>
                <c:formatCode>#,##0.00</c:formatCode>
                <c:ptCount val="9"/>
                <c:pt idx="0">
                  <c:v>1.08599</c:v>
                </c:pt>
                <c:pt idx="1">
                  <c:v>1.1146399999999999</c:v>
                </c:pt>
                <c:pt idx="2">
                  <c:v>0.79662000000000011</c:v>
                </c:pt>
                <c:pt idx="3">
                  <c:v>2.0587999999999997</c:v>
                </c:pt>
                <c:pt idx="4">
                  <c:v>6.5745900000000015</c:v>
                </c:pt>
                <c:pt idx="5">
                  <c:v>1.8216399999999999</c:v>
                </c:pt>
                <c:pt idx="6">
                  <c:v>1.8857900000000003</c:v>
                </c:pt>
                <c:pt idx="7">
                  <c:v>0.31593000000000004</c:v>
                </c:pt>
                <c:pt idx="8">
                  <c:v>3.7980000000000007E-2</c:v>
                </c:pt>
              </c:numCache>
            </c:numRef>
          </c:val>
        </c:ser>
        <c:ser>
          <c:idx val="1"/>
          <c:order val="1"/>
          <c:tx>
            <c:strRef>
              <c:f>'Section 13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data'!$F$24:$F$32</c:f>
                <c:numCache>
                  <c:formatCode>General</c:formatCode>
                  <c:ptCount val="9"/>
                  <c:pt idx="0">
                    <c:v>0.80103953114047699</c:v>
                  </c:pt>
                  <c:pt idx="1">
                    <c:v>0.53896424748791893</c:v>
                  </c:pt>
                  <c:pt idx="2">
                    <c:v>0.85446271066053248</c:v>
                  </c:pt>
                  <c:pt idx="3">
                    <c:v>1.0821898996530743</c:v>
                  </c:pt>
                  <c:pt idx="4">
                    <c:v>1.5596405358166867</c:v>
                  </c:pt>
                  <c:pt idx="5">
                    <c:v>1.4936509141810985</c:v>
                  </c:pt>
                  <c:pt idx="6">
                    <c:v>2.1506417530137631</c:v>
                  </c:pt>
                  <c:pt idx="7">
                    <c:v>1.4557377239146334</c:v>
                  </c:pt>
                  <c:pt idx="8">
                    <c:v>1.3778095005316624</c:v>
                  </c:pt>
                </c:numCache>
              </c:numRef>
            </c:plus>
            <c:minus>
              <c:numRef>
                <c:f>'Section 13 data'!$F$24:$F$32</c:f>
                <c:numCache>
                  <c:formatCode>General</c:formatCode>
                  <c:ptCount val="9"/>
                  <c:pt idx="0">
                    <c:v>0.80103953114047699</c:v>
                  </c:pt>
                  <c:pt idx="1">
                    <c:v>0.53896424748791893</c:v>
                  </c:pt>
                  <c:pt idx="2">
                    <c:v>0.85446271066053248</c:v>
                  </c:pt>
                  <c:pt idx="3">
                    <c:v>1.0821898996530743</c:v>
                  </c:pt>
                  <c:pt idx="4">
                    <c:v>1.5596405358166867</c:v>
                  </c:pt>
                  <c:pt idx="5">
                    <c:v>1.4936509141810985</c:v>
                  </c:pt>
                  <c:pt idx="6">
                    <c:v>2.1506417530137631</c:v>
                  </c:pt>
                  <c:pt idx="7">
                    <c:v>1.4557377239146334</c:v>
                  </c:pt>
                  <c:pt idx="8">
                    <c:v>1.3778095005316624</c:v>
                  </c:pt>
                </c:numCache>
              </c:numRef>
            </c:minus>
          </c:errBars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data'!$D$24:$D$32</c:f>
              <c:numCache>
                <c:formatCode>#,##0.00</c:formatCode>
                <c:ptCount val="9"/>
                <c:pt idx="0">
                  <c:v>12.032980000000002</c:v>
                </c:pt>
                <c:pt idx="1">
                  <c:v>5.8703700000000021</c:v>
                </c:pt>
                <c:pt idx="2">
                  <c:v>9.5478699999999996</c:v>
                </c:pt>
                <c:pt idx="3">
                  <c:v>11.631609999999998</c:v>
                </c:pt>
                <c:pt idx="4">
                  <c:v>24.028780000000001</c:v>
                </c:pt>
                <c:pt idx="5">
                  <c:v>19.319609999999997</c:v>
                </c:pt>
                <c:pt idx="6">
                  <c:v>38.712870000000002</c:v>
                </c:pt>
                <c:pt idx="7">
                  <c:v>18.124949999999998</c:v>
                </c:pt>
                <c:pt idx="8">
                  <c:v>11.445690000000001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908288"/>
        <c:axId val="232909824"/>
      </c:barChart>
      <c:catAx>
        <c:axId val="23290828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2909824"/>
        <c:crosses val="autoZero"/>
        <c:auto val="1"/>
        <c:lblAlgn val="ctr"/>
        <c:lblOffset val="100"/>
        <c:noMultiLvlLbl val="0"/>
      </c:catAx>
      <c:valAx>
        <c:axId val="23290982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290828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oak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3.6739999999999999</c:v>
                </c:pt>
                <c:pt idx="2">
                  <c:v>47.097999999999999</c:v>
                </c:pt>
                <c:pt idx="3">
                  <c:v>278.62299999999999</c:v>
                </c:pt>
                <c:pt idx="4">
                  <c:v>599.52</c:v>
                </c:pt>
                <c:pt idx="5">
                  <c:v>370.36700000000002</c:v>
                </c:pt>
                <c:pt idx="6">
                  <c:v>2046.0239999999999</c:v>
                </c:pt>
              </c:numCache>
            </c:numRef>
          </c:val>
        </c:ser>
        <c:ser>
          <c:idx val="1"/>
          <c:order val="1"/>
          <c:tx>
            <c:strRef>
              <c:f>'Section 13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data'!$M$13:$M$19</c:f>
                <c:numCache>
                  <c:formatCode>General</c:formatCode>
                  <c:ptCount val="7"/>
                  <c:pt idx="0">
                    <c:v>3.7720734462474299</c:v>
                  </c:pt>
                  <c:pt idx="1">
                    <c:v>44.122828174820334</c:v>
                  </c:pt>
                  <c:pt idx="2">
                    <c:v>212.53608614473896</c:v>
                  </c:pt>
                  <c:pt idx="3">
                    <c:v>398.81666218995144</c:v>
                  </c:pt>
                  <c:pt idx="4">
                    <c:v>659.54621376043099</c:v>
                  </c:pt>
                  <c:pt idx="5">
                    <c:v>1114.7436708398773</c:v>
                  </c:pt>
                  <c:pt idx="6">
                    <c:v>1183.8303820463161</c:v>
                  </c:pt>
                </c:numCache>
              </c:numRef>
            </c:plus>
            <c:minus>
              <c:numRef>
                <c:f>'Section 13 data'!$M$13:$M$19</c:f>
                <c:numCache>
                  <c:formatCode>General</c:formatCode>
                  <c:ptCount val="7"/>
                  <c:pt idx="0">
                    <c:v>3.7720734462474299</c:v>
                  </c:pt>
                  <c:pt idx="1">
                    <c:v>44.122828174820334</c:v>
                  </c:pt>
                  <c:pt idx="2">
                    <c:v>212.53608614473896</c:v>
                  </c:pt>
                  <c:pt idx="3">
                    <c:v>398.81666218995144</c:v>
                  </c:pt>
                  <c:pt idx="4">
                    <c:v>659.54621376043099</c:v>
                  </c:pt>
                  <c:pt idx="5">
                    <c:v>1114.7436708398773</c:v>
                  </c:pt>
                  <c:pt idx="6">
                    <c:v>1183.8303820463161</c:v>
                  </c:pt>
                </c:numCache>
              </c:numRef>
            </c:minus>
          </c:errBars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data'!$K$13:$K$19</c:f>
              <c:numCache>
                <c:formatCode>#,##0.00</c:formatCode>
                <c:ptCount val="7"/>
                <c:pt idx="0">
                  <c:v>7.5186999999999999</c:v>
                </c:pt>
                <c:pt idx="1">
                  <c:v>351.70854000000003</c:v>
                </c:pt>
                <c:pt idx="2">
                  <c:v>2577.1997099999999</c:v>
                </c:pt>
                <c:pt idx="3">
                  <c:v>4648.3827000000001</c:v>
                </c:pt>
                <c:pt idx="4">
                  <c:v>8989.1778400000003</c:v>
                </c:pt>
                <c:pt idx="5">
                  <c:v>15855.07352</c:v>
                </c:pt>
                <c:pt idx="6">
                  <c:v>14517.66836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063936"/>
        <c:axId val="233065472"/>
      </c:barChart>
      <c:catAx>
        <c:axId val="2330639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065472"/>
        <c:crosses val="autoZero"/>
        <c:auto val="1"/>
        <c:lblAlgn val="ctr"/>
        <c:lblOffset val="100"/>
        <c:noMultiLvlLbl val="0"/>
      </c:catAx>
      <c:valAx>
        <c:axId val="2330654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0639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3.6739999999999999</c:v>
                </c:pt>
                <c:pt idx="2">
                  <c:v>47.097999999999999</c:v>
                </c:pt>
                <c:pt idx="3">
                  <c:v>278.62299999999999</c:v>
                </c:pt>
                <c:pt idx="4">
                  <c:v>599.52</c:v>
                </c:pt>
                <c:pt idx="5">
                  <c:v>370.36700000000002</c:v>
                </c:pt>
                <c:pt idx="6">
                  <c:v>2046.0239999999999</c:v>
                </c:pt>
              </c:numCache>
            </c:numRef>
          </c:val>
        </c:ser>
        <c:ser>
          <c:idx val="1"/>
          <c:order val="1"/>
          <c:tx>
            <c:strRef>
              <c:f>'Section 13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data'!$M$13:$M$19</c:f>
                <c:numCache>
                  <c:formatCode>General</c:formatCode>
                  <c:ptCount val="7"/>
                  <c:pt idx="0">
                    <c:v>3.7720734462474299</c:v>
                  </c:pt>
                  <c:pt idx="1">
                    <c:v>44.122828174820334</c:v>
                  </c:pt>
                  <c:pt idx="2">
                    <c:v>212.53608614473896</c:v>
                  </c:pt>
                  <c:pt idx="3">
                    <c:v>398.81666218995144</c:v>
                  </c:pt>
                  <c:pt idx="4">
                    <c:v>659.54621376043099</c:v>
                  </c:pt>
                  <c:pt idx="5">
                    <c:v>1114.7436708398773</c:v>
                  </c:pt>
                  <c:pt idx="6">
                    <c:v>1183.8303820463161</c:v>
                  </c:pt>
                </c:numCache>
              </c:numRef>
            </c:plus>
            <c:minus>
              <c:numRef>
                <c:f>'Section 13 data'!$M$13:$M$19</c:f>
                <c:numCache>
                  <c:formatCode>General</c:formatCode>
                  <c:ptCount val="7"/>
                  <c:pt idx="0">
                    <c:v>3.7720734462474299</c:v>
                  </c:pt>
                  <c:pt idx="1">
                    <c:v>44.122828174820334</c:v>
                  </c:pt>
                  <c:pt idx="2">
                    <c:v>212.53608614473896</c:v>
                  </c:pt>
                  <c:pt idx="3">
                    <c:v>398.81666218995144</c:v>
                  </c:pt>
                  <c:pt idx="4">
                    <c:v>659.54621376043099</c:v>
                  </c:pt>
                  <c:pt idx="5">
                    <c:v>1114.7436708398773</c:v>
                  </c:pt>
                  <c:pt idx="6">
                    <c:v>1183.8303820463161</c:v>
                  </c:pt>
                </c:numCache>
              </c:numRef>
            </c:minus>
          </c:errBars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data'!$K$13:$K$19</c:f>
              <c:numCache>
                <c:formatCode>#,##0.00</c:formatCode>
                <c:ptCount val="7"/>
                <c:pt idx="0">
                  <c:v>7.5186999999999999</c:v>
                </c:pt>
                <c:pt idx="1">
                  <c:v>351.70854000000003</c:v>
                </c:pt>
                <c:pt idx="2">
                  <c:v>2577.1997099999999</c:v>
                </c:pt>
                <c:pt idx="3">
                  <c:v>4648.3827000000001</c:v>
                </c:pt>
                <c:pt idx="4">
                  <c:v>8989.1778400000003</c:v>
                </c:pt>
                <c:pt idx="5">
                  <c:v>15855.07352</c:v>
                </c:pt>
                <c:pt idx="6">
                  <c:v>14517.66836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157760"/>
        <c:axId val="233159296"/>
      </c:barChart>
      <c:catAx>
        <c:axId val="2331577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159296"/>
        <c:crosses val="autoZero"/>
        <c:auto val="1"/>
        <c:lblAlgn val="ctr"/>
        <c:lblOffset val="100"/>
        <c:noMultiLvlLbl val="0"/>
      </c:catAx>
      <c:valAx>
        <c:axId val="23315929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15776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oak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data'!$J$24:$J$32</c:f>
              <c:numCache>
                <c:formatCode>#,##0.00</c:formatCode>
                <c:ptCount val="9"/>
                <c:pt idx="0">
                  <c:v>6.4219999999999997</c:v>
                </c:pt>
                <c:pt idx="1">
                  <c:v>59.917000000000002</c:v>
                </c:pt>
                <c:pt idx="2">
                  <c:v>123.959</c:v>
                </c:pt>
                <c:pt idx="3">
                  <c:v>411.64</c:v>
                </c:pt>
                <c:pt idx="4">
                  <c:v>1946.153</c:v>
                </c:pt>
                <c:pt idx="5">
                  <c:v>403.733</c:v>
                </c:pt>
                <c:pt idx="6">
                  <c:v>321.245</c:v>
                </c:pt>
                <c:pt idx="7">
                  <c:v>66</c:v>
                </c:pt>
                <c:pt idx="8">
                  <c:v>6.2380000000000004</c:v>
                </c:pt>
              </c:numCache>
            </c:numRef>
          </c:val>
        </c:ser>
        <c:ser>
          <c:idx val="1"/>
          <c:order val="1"/>
          <c:tx>
            <c:strRef>
              <c:f>'Section 13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data'!$M$24:$M$32</c:f>
                <c:numCache>
                  <c:formatCode>General</c:formatCode>
                  <c:ptCount val="9"/>
                  <c:pt idx="0">
                    <c:v>11.749483130320552</c:v>
                  </c:pt>
                  <c:pt idx="1">
                    <c:v>27.981732509419462</c:v>
                  </c:pt>
                  <c:pt idx="2">
                    <c:v>81.679254762403573</c:v>
                  </c:pt>
                  <c:pt idx="3">
                    <c:v>144.3477488989864</c:v>
                  </c:pt>
                  <c:pt idx="4">
                    <c:v>407.11524698230181</c:v>
                  </c:pt>
                  <c:pt idx="5">
                    <c:v>478.20516802390841</c:v>
                  </c:pt>
                  <c:pt idx="6">
                    <c:v>945.37230891066565</c:v>
                  </c:pt>
                  <c:pt idx="7">
                    <c:v>888.41310114176315</c:v>
                  </c:pt>
                  <c:pt idx="8">
                    <c:v>1137.1377368381038</c:v>
                  </c:pt>
                </c:numCache>
              </c:numRef>
            </c:plus>
            <c:minus>
              <c:numRef>
                <c:f>'Section 13 data'!$M$24:$M$32</c:f>
                <c:numCache>
                  <c:formatCode>General</c:formatCode>
                  <c:ptCount val="9"/>
                  <c:pt idx="0">
                    <c:v>11.749483130320552</c:v>
                  </c:pt>
                  <c:pt idx="1">
                    <c:v>27.981732509419462</c:v>
                  </c:pt>
                  <c:pt idx="2">
                    <c:v>81.679254762403573</c:v>
                  </c:pt>
                  <c:pt idx="3">
                    <c:v>144.3477488989864</c:v>
                  </c:pt>
                  <c:pt idx="4">
                    <c:v>407.11524698230181</c:v>
                  </c:pt>
                  <c:pt idx="5">
                    <c:v>478.20516802390841</c:v>
                  </c:pt>
                  <c:pt idx="6">
                    <c:v>945.37230891066565</c:v>
                  </c:pt>
                  <c:pt idx="7">
                    <c:v>888.41310114176315</c:v>
                  </c:pt>
                  <c:pt idx="8">
                    <c:v>1137.1377368381038</c:v>
                  </c:pt>
                </c:numCache>
              </c:numRef>
            </c:minus>
          </c:errBars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data'!$K$24:$K$32</c:f>
              <c:numCache>
                <c:formatCode>#,##0.00</c:formatCode>
                <c:ptCount val="9"/>
                <c:pt idx="0">
                  <c:v>98.411000000000001</c:v>
                </c:pt>
                <c:pt idx="1">
                  <c:v>245.92099999999999</c:v>
                </c:pt>
                <c:pt idx="2">
                  <c:v>879.505</c:v>
                </c:pt>
                <c:pt idx="3">
                  <c:v>1468.079</c:v>
                </c:pt>
                <c:pt idx="4">
                  <c:v>5913.6769999999997</c:v>
                </c:pt>
                <c:pt idx="5">
                  <c:v>5955.2979999999998</c:v>
                </c:pt>
                <c:pt idx="6">
                  <c:v>15841.865</c:v>
                </c:pt>
                <c:pt idx="7">
                  <c:v>11283.728999999999</c:v>
                </c:pt>
                <c:pt idx="8">
                  <c:v>9198.6990000000005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378944"/>
        <c:axId val="233380480"/>
      </c:barChart>
      <c:catAx>
        <c:axId val="2333789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380480"/>
        <c:crosses val="autoZero"/>
        <c:auto val="1"/>
        <c:lblAlgn val="ctr"/>
        <c:lblOffset val="100"/>
        <c:noMultiLvlLbl val="0"/>
      </c:catAx>
      <c:valAx>
        <c:axId val="23338048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3789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data'!$J$24:$J$32</c:f>
              <c:numCache>
                <c:formatCode>#,##0.00</c:formatCode>
                <c:ptCount val="9"/>
                <c:pt idx="0">
                  <c:v>6.4219999999999997</c:v>
                </c:pt>
                <c:pt idx="1">
                  <c:v>59.917000000000002</c:v>
                </c:pt>
                <c:pt idx="2">
                  <c:v>123.959</c:v>
                </c:pt>
                <c:pt idx="3">
                  <c:v>411.64</c:v>
                </c:pt>
                <c:pt idx="4">
                  <c:v>1946.153</c:v>
                </c:pt>
                <c:pt idx="5">
                  <c:v>403.733</c:v>
                </c:pt>
                <c:pt idx="6">
                  <c:v>321.245</c:v>
                </c:pt>
                <c:pt idx="7">
                  <c:v>66</c:v>
                </c:pt>
                <c:pt idx="8">
                  <c:v>6.2380000000000004</c:v>
                </c:pt>
              </c:numCache>
            </c:numRef>
          </c:val>
        </c:ser>
        <c:ser>
          <c:idx val="1"/>
          <c:order val="1"/>
          <c:tx>
            <c:strRef>
              <c:f>'Section 13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data'!$M$24:$M$32</c:f>
                <c:numCache>
                  <c:formatCode>General</c:formatCode>
                  <c:ptCount val="9"/>
                  <c:pt idx="0">
                    <c:v>11.749483130320552</c:v>
                  </c:pt>
                  <c:pt idx="1">
                    <c:v>27.981732509419462</c:v>
                  </c:pt>
                  <c:pt idx="2">
                    <c:v>81.679254762403573</c:v>
                  </c:pt>
                  <c:pt idx="3">
                    <c:v>144.3477488989864</c:v>
                  </c:pt>
                  <c:pt idx="4">
                    <c:v>407.11524698230181</c:v>
                  </c:pt>
                  <c:pt idx="5">
                    <c:v>478.20516802390841</c:v>
                  </c:pt>
                  <c:pt idx="6">
                    <c:v>945.37230891066565</c:v>
                  </c:pt>
                  <c:pt idx="7">
                    <c:v>888.41310114176315</c:v>
                  </c:pt>
                  <c:pt idx="8">
                    <c:v>1137.1377368381038</c:v>
                  </c:pt>
                </c:numCache>
              </c:numRef>
            </c:plus>
            <c:minus>
              <c:numRef>
                <c:f>'Section 13 data'!$M$24:$M$32</c:f>
                <c:numCache>
                  <c:formatCode>General</c:formatCode>
                  <c:ptCount val="9"/>
                  <c:pt idx="0">
                    <c:v>11.749483130320552</c:v>
                  </c:pt>
                  <c:pt idx="1">
                    <c:v>27.981732509419462</c:v>
                  </c:pt>
                  <c:pt idx="2">
                    <c:v>81.679254762403573</c:v>
                  </c:pt>
                  <c:pt idx="3">
                    <c:v>144.3477488989864</c:v>
                  </c:pt>
                  <c:pt idx="4">
                    <c:v>407.11524698230181</c:v>
                  </c:pt>
                  <c:pt idx="5">
                    <c:v>478.20516802390841</c:v>
                  </c:pt>
                  <c:pt idx="6">
                    <c:v>945.37230891066565</c:v>
                  </c:pt>
                  <c:pt idx="7">
                    <c:v>888.41310114176315</c:v>
                  </c:pt>
                  <c:pt idx="8">
                    <c:v>1137.1377368381038</c:v>
                  </c:pt>
                </c:numCache>
              </c:numRef>
            </c:minus>
          </c:errBars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data'!$K$24:$K$32</c:f>
              <c:numCache>
                <c:formatCode>#,##0.00</c:formatCode>
                <c:ptCount val="9"/>
                <c:pt idx="0">
                  <c:v>98.411000000000001</c:v>
                </c:pt>
                <c:pt idx="1">
                  <c:v>245.92099999999999</c:v>
                </c:pt>
                <c:pt idx="2">
                  <c:v>879.505</c:v>
                </c:pt>
                <c:pt idx="3">
                  <c:v>1468.079</c:v>
                </c:pt>
                <c:pt idx="4">
                  <c:v>5913.6769999999997</c:v>
                </c:pt>
                <c:pt idx="5">
                  <c:v>5955.2979999999998</c:v>
                </c:pt>
                <c:pt idx="6">
                  <c:v>15841.865</c:v>
                </c:pt>
                <c:pt idx="7">
                  <c:v>11283.728999999999</c:v>
                </c:pt>
                <c:pt idx="8">
                  <c:v>9198.6990000000005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411328"/>
        <c:axId val="233412864"/>
      </c:barChart>
      <c:catAx>
        <c:axId val="2334113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412864"/>
        <c:crosses val="autoZero"/>
        <c:auto val="1"/>
        <c:lblAlgn val="ctr"/>
        <c:lblOffset val="100"/>
        <c:noMultiLvlLbl val="0"/>
      </c:catAx>
      <c:valAx>
        <c:axId val="23341286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4113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oak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data'!$Q$13:$Q$19</c:f>
              <c:numCache>
                <c:formatCode>#,##0.00</c:formatCode>
                <c:ptCount val="7"/>
                <c:pt idx="0">
                  <c:v>46.963000000000001</c:v>
                </c:pt>
                <c:pt idx="1">
                  <c:v>743.899</c:v>
                </c:pt>
                <c:pt idx="2">
                  <c:v>4245.4740000000002</c:v>
                </c:pt>
                <c:pt idx="3">
                  <c:v>2196.0239999999999</c:v>
                </c:pt>
                <c:pt idx="4">
                  <c:v>2817.2869999999998</c:v>
                </c:pt>
                <c:pt idx="5">
                  <c:v>1244.578</c:v>
                </c:pt>
                <c:pt idx="6">
                  <c:v>5586.9950000000008</c:v>
                </c:pt>
              </c:numCache>
            </c:numRef>
          </c:val>
        </c:ser>
        <c:ser>
          <c:idx val="1"/>
          <c:order val="1"/>
          <c:tx>
            <c:strRef>
              <c:f>'Section 13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data'!$T$13:$T$19</c:f>
                <c:numCache>
                  <c:formatCode>General</c:formatCode>
                  <c:ptCount val="7"/>
                  <c:pt idx="0">
                    <c:v>74.666324788621637</c:v>
                  </c:pt>
                  <c:pt idx="1">
                    <c:v>1974.3409651255811</c:v>
                  </c:pt>
                  <c:pt idx="2">
                    <c:v>1746.1232676343543</c:v>
                  </c:pt>
                  <c:pt idx="3">
                    <c:v>1104.7677886125684</c:v>
                  </c:pt>
                  <c:pt idx="4">
                    <c:v>808.08745815124848</c:v>
                  </c:pt>
                  <c:pt idx="5">
                    <c:v>755.85588217871248</c:v>
                  </c:pt>
                  <c:pt idx="6">
                    <c:v>419.54749602304241</c:v>
                  </c:pt>
                </c:numCache>
              </c:numRef>
            </c:plus>
            <c:minus>
              <c:numRef>
                <c:f>'Section 13 data'!$T$13:$T$19</c:f>
                <c:numCache>
                  <c:formatCode>General</c:formatCode>
                  <c:ptCount val="7"/>
                  <c:pt idx="0">
                    <c:v>74.666324788621637</c:v>
                  </c:pt>
                  <c:pt idx="1">
                    <c:v>1974.3409651255811</c:v>
                  </c:pt>
                  <c:pt idx="2">
                    <c:v>1746.1232676343543</c:v>
                  </c:pt>
                  <c:pt idx="3">
                    <c:v>1104.7677886125684</c:v>
                  </c:pt>
                  <c:pt idx="4">
                    <c:v>808.08745815124848</c:v>
                  </c:pt>
                  <c:pt idx="5">
                    <c:v>755.85588217871248</c:v>
                  </c:pt>
                  <c:pt idx="6">
                    <c:v>419.54749602304241</c:v>
                  </c:pt>
                </c:numCache>
              </c:numRef>
            </c:minus>
          </c:errBars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data'!$R$13:$R$19</c:f>
              <c:numCache>
                <c:formatCode>#,##0.00</c:formatCode>
                <c:ptCount val="7"/>
                <c:pt idx="0">
                  <c:v>178.214</c:v>
                </c:pt>
                <c:pt idx="1">
                  <c:v>23721.716</c:v>
                </c:pt>
                <c:pt idx="2">
                  <c:v>28044.219000000001</c:v>
                </c:pt>
                <c:pt idx="3">
                  <c:v>12772.065000000001</c:v>
                </c:pt>
                <c:pt idx="4">
                  <c:v>9973.741</c:v>
                </c:pt>
                <c:pt idx="5">
                  <c:v>10599.692999999999</c:v>
                </c:pt>
                <c:pt idx="6">
                  <c:v>6155.982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517824"/>
        <c:axId val="233519360"/>
      </c:barChart>
      <c:catAx>
        <c:axId val="2335178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519360"/>
        <c:crosses val="autoZero"/>
        <c:auto val="1"/>
        <c:lblAlgn val="ctr"/>
        <c:lblOffset val="100"/>
        <c:noMultiLvlLbl val="0"/>
      </c:catAx>
      <c:valAx>
        <c:axId val="2335193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5178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data'!$Q$13:$Q$19</c:f>
              <c:numCache>
                <c:formatCode>#,##0.00</c:formatCode>
                <c:ptCount val="7"/>
                <c:pt idx="0">
                  <c:v>46.963000000000001</c:v>
                </c:pt>
                <c:pt idx="1">
                  <c:v>743.899</c:v>
                </c:pt>
                <c:pt idx="2">
                  <c:v>4245.4740000000002</c:v>
                </c:pt>
                <c:pt idx="3">
                  <c:v>2196.0239999999999</c:v>
                </c:pt>
                <c:pt idx="4">
                  <c:v>2817.2869999999998</c:v>
                </c:pt>
                <c:pt idx="5">
                  <c:v>1244.578</c:v>
                </c:pt>
                <c:pt idx="6">
                  <c:v>5586.9950000000008</c:v>
                </c:pt>
              </c:numCache>
            </c:numRef>
          </c:val>
        </c:ser>
        <c:ser>
          <c:idx val="1"/>
          <c:order val="1"/>
          <c:tx>
            <c:strRef>
              <c:f>'Section 13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data'!$T$13:$T$19</c:f>
                <c:numCache>
                  <c:formatCode>General</c:formatCode>
                  <c:ptCount val="7"/>
                  <c:pt idx="0">
                    <c:v>74.666324788621637</c:v>
                  </c:pt>
                  <c:pt idx="1">
                    <c:v>1974.3409651255811</c:v>
                  </c:pt>
                  <c:pt idx="2">
                    <c:v>1746.1232676343543</c:v>
                  </c:pt>
                  <c:pt idx="3">
                    <c:v>1104.7677886125684</c:v>
                  </c:pt>
                  <c:pt idx="4">
                    <c:v>808.08745815124848</c:v>
                  </c:pt>
                  <c:pt idx="5">
                    <c:v>755.85588217871248</c:v>
                  </c:pt>
                  <c:pt idx="6">
                    <c:v>419.54749602304241</c:v>
                  </c:pt>
                </c:numCache>
              </c:numRef>
            </c:plus>
            <c:minus>
              <c:numRef>
                <c:f>'Section 13 data'!$T$13:$T$19</c:f>
                <c:numCache>
                  <c:formatCode>General</c:formatCode>
                  <c:ptCount val="7"/>
                  <c:pt idx="0">
                    <c:v>74.666324788621637</c:v>
                  </c:pt>
                  <c:pt idx="1">
                    <c:v>1974.3409651255811</c:v>
                  </c:pt>
                  <c:pt idx="2">
                    <c:v>1746.1232676343543</c:v>
                  </c:pt>
                  <c:pt idx="3">
                    <c:v>1104.7677886125684</c:v>
                  </c:pt>
                  <c:pt idx="4">
                    <c:v>808.08745815124848</c:v>
                  </c:pt>
                  <c:pt idx="5">
                    <c:v>755.85588217871248</c:v>
                  </c:pt>
                  <c:pt idx="6">
                    <c:v>419.54749602304241</c:v>
                  </c:pt>
                </c:numCache>
              </c:numRef>
            </c:minus>
          </c:errBars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data'!$R$13:$R$19</c:f>
              <c:numCache>
                <c:formatCode>#,##0.00</c:formatCode>
                <c:ptCount val="7"/>
                <c:pt idx="0">
                  <c:v>178.214</c:v>
                </c:pt>
                <c:pt idx="1">
                  <c:v>23721.716</c:v>
                </c:pt>
                <c:pt idx="2">
                  <c:v>28044.219000000001</c:v>
                </c:pt>
                <c:pt idx="3">
                  <c:v>12772.065000000001</c:v>
                </c:pt>
                <c:pt idx="4">
                  <c:v>9973.741</c:v>
                </c:pt>
                <c:pt idx="5">
                  <c:v>10599.692999999999</c:v>
                </c:pt>
                <c:pt idx="6">
                  <c:v>6155.982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660800"/>
        <c:axId val="233662336"/>
      </c:barChart>
      <c:catAx>
        <c:axId val="2336608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3662336"/>
        <c:crosses val="autoZero"/>
        <c:auto val="1"/>
        <c:lblAlgn val="ctr"/>
        <c:lblOffset val="100"/>
        <c:noMultiLvlLbl val="0"/>
      </c:catAx>
      <c:valAx>
        <c:axId val="2336623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6608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oak</a:t>
            </a:r>
            <a:r>
              <a:rPr lang="en-US" baseline="0"/>
              <a:t> </a:t>
            </a:r>
            <a:r>
              <a:rPr lang="en-US"/>
              <a:t>trees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data'!$Q$24:$Q$32</c:f>
              <c:numCache>
                <c:formatCode>#,##0.00</c:formatCode>
                <c:ptCount val="9"/>
                <c:pt idx="0">
                  <c:v>1248.7090000000001</c:v>
                </c:pt>
                <c:pt idx="1">
                  <c:v>4697.5730000000003</c:v>
                </c:pt>
                <c:pt idx="2">
                  <c:v>1937.2550000000001</c:v>
                </c:pt>
                <c:pt idx="3">
                  <c:v>2888.6889999999999</c:v>
                </c:pt>
                <c:pt idx="4">
                  <c:v>5379.9080000000004</c:v>
                </c:pt>
                <c:pt idx="5">
                  <c:v>541.12099999999998</c:v>
                </c:pt>
                <c:pt idx="6">
                  <c:v>207.11</c:v>
                </c:pt>
                <c:pt idx="7">
                  <c:v>18.62</c:v>
                </c:pt>
                <c:pt idx="8">
                  <c:v>1.0740000000000001</c:v>
                </c:pt>
              </c:numCache>
            </c:numRef>
          </c:val>
        </c:ser>
        <c:ser>
          <c:idx val="1"/>
          <c:order val="1"/>
          <c:tx>
            <c:strRef>
              <c:f>'Section 13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plus>
            <c:minus>
              <c:numRef>
                <c:f>'Section 13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minus>
          </c:errBars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data'!$R$24:$R$32</c:f>
              <c:numCache>
                <c:formatCode>#,##0.00</c:formatCode>
                <c:ptCount val="9"/>
                <c:pt idx="0">
                  <c:v>13362.86</c:v>
                </c:pt>
                <c:pt idx="1">
                  <c:v>15763.936</c:v>
                </c:pt>
                <c:pt idx="2">
                  <c:v>14528.135</c:v>
                </c:pt>
                <c:pt idx="3">
                  <c:v>8970.9940000000006</c:v>
                </c:pt>
                <c:pt idx="4">
                  <c:v>13944.032999999999</c:v>
                </c:pt>
                <c:pt idx="5">
                  <c:v>6532.4579999999996</c:v>
                </c:pt>
                <c:pt idx="6">
                  <c:v>8023.6409999999996</c:v>
                </c:pt>
                <c:pt idx="7">
                  <c:v>2535.4760000000001</c:v>
                </c:pt>
                <c:pt idx="8">
                  <c:v>915.86300000000006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795392"/>
        <c:axId val="234796928"/>
      </c:barChart>
      <c:catAx>
        <c:axId val="2347953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4796928"/>
        <c:crosses val="autoZero"/>
        <c:auto val="1"/>
        <c:lblAlgn val="ctr"/>
        <c:lblOffset val="100"/>
        <c:noMultiLvlLbl val="0"/>
      </c:catAx>
      <c:valAx>
        <c:axId val="23479692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479539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 b="0" i="0" u="none" strike="noStrike" baseline="0">
                <a:effectLst/>
              </a:rPr>
              <a:t>Woodland area by size class distribution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21303656597773"/>
          <c:y val="0.12415349887133183"/>
          <c:w val="0.62079305302884047"/>
          <c:h val="0.62528216704288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'Eng Table 8'!$C$5</c:f>
              <c:strCache>
                <c:ptCount val="1"/>
                <c:pt idx="0">
                  <c:v>Total area (ha)</c:v>
                </c:pt>
              </c:strCache>
            </c:strRef>
          </c:tx>
          <c:spPr>
            <a:solidFill>
              <a:srgbClr val="3B9946"/>
            </a:solidFill>
            <a:ln w="19050">
              <a:solidFill>
                <a:schemeClr val="bg1"/>
              </a:solidFill>
            </a:ln>
          </c:spPr>
          <c:invertIfNegative val="0"/>
          <c:cat>
            <c:strRef>
              <c:f>'Eng Table 8'!$B$7:$B$13</c:f>
              <c:strCache>
                <c:ptCount val="7"/>
                <c:pt idx="0">
                  <c:v>&lt;2</c:v>
                </c:pt>
                <c:pt idx="1">
                  <c:v>2 – &lt;10</c:v>
                </c:pt>
                <c:pt idx="2">
                  <c:v>10 – &lt;20</c:v>
                </c:pt>
                <c:pt idx="3">
                  <c:v>20 – &lt;50</c:v>
                </c:pt>
                <c:pt idx="4">
                  <c:v>50 – &lt;100</c:v>
                </c:pt>
                <c:pt idx="5">
                  <c:v>100 – &lt;500</c:v>
                </c:pt>
                <c:pt idx="6">
                  <c:v>500 and &gt;</c:v>
                </c:pt>
              </c:strCache>
            </c:strRef>
          </c:cat>
          <c:val>
            <c:numRef>
              <c:f>'Eng Table 8'!$C$7:$C$13</c:f>
              <c:numCache>
                <c:formatCode>#,##0</c:formatCode>
                <c:ptCount val="7"/>
                <c:pt idx="0">
                  <c:v>144207.63260899999</c:v>
                </c:pt>
                <c:pt idx="1">
                  <c:v>264514.45932600001</c:v>
                </c:pt>
                <c:pt idx="2">
                  <c:v>132457.198611</c:v>
                </c:pt>
                <c:pt idx="3">
                  <c:v>190190.321861</c:v>
                </c:pt>
                <c:pt idx="4">
                  <c:v>151335.83163599999</c:v>
                </c:pt>
                <c:pt idx="5">
                  <c:v>270987.20789899997</c:v>
                </c:pt>
                <c:pt idx="6">
                  <c:v>143972.93580800001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071936"/>
        <c:axId val="129405696"/>
      </c:barChart>
      <c:lineChart>
        <c:grouping val="standard"/>
        <c:varyColors val="0"/>
        <c:ser>
          <c:idx val="1"/>
          <c:order val="1"/>
          <c:tx>
            <c:strRef>
              <c:f>'Eng Table 8'!$D$5</c:f>
              <c:strCache>
                <c:ptCount val="1"/>
                <c:pt idx="0">
                  <c:v>Number of woods</c:v>
                </c:pt>
              </c:strCache>
            </c:strRef>
          </c:tx>
          <c:spPr>
            <a:ln w="38100">
              <a:solidFill>
                <a:srgbClr val="074F28"/>
              </a:solidFill>
            </a:ln>
          </c:spPr>
          <c:marker>
            <c:symbol val="diamond"/>
            <c:size val="5"/>
            <c:spPr>
              <a:solidFill>
                <a:srgbClr val="074F28"/>
              </a:solidFill>
              <a:ln>
                <a:solidFill>
                  <a:srgbClr val="074F28"/>
                </a:solidFill>
              </a:ln>
            </c:spPr>
          </c:marker>
          <c:cat>
            <c:strLit>
              <c:ptCount val="7"/>
              <c:pt idx="0">
                <c:v>&lt;2</c:v>
              </c:pt>
              <c:pt idx="1">
                <c:v>2 - &lt;10</c:v>
              </c:pt>
              <c:pt idx="2">
                <c:v>10 - &lt;20</c:v>
              </c:pt>
              <c:pt idx="3">
                <c:v>20 - &lt;50</c:v>
              </c:pt>
              <c:pt idx="4">
                <c:v>50 - &lt;100</c:v>
              </c:pt>
              <c:pt idx="5">
                <c:v>100 - &lt;500</c:v>
              </c:pt>
              <c:pt idx="6">
                <c:v>500 and &gt;</c:v>
              </c:pt>
            </c:strLit>
          </c:cat>
          <c:val>
            <c:numRef>
              <c:f>'Eng Table 8'!$D$7:$D$13</c:f>
              <c:numCache>
                <c:formatCode>#,##0</c:formatCode>
                <c:ptCount val="7"/>
                <c:pt idx="0">
                  <c:v>144668</c:v>
                </c:pt>
                <c:pt idx="1">
                  <c:v>63468</c:v>
                </c:pt>
                <c:pt idx="2">
                  <c:v>9484</c:v>
                </c:pt>
                <c:pt idx="3">
                  <c:v>6189</c:v>
                </c:pt>
                <c:pt idx="4">
                  <c:v>2181</c:v>
                </c:pt>
                <c:pt idx="5">
                  <c:v>1445</c:v>
                </c:pt>
                <c:pt idx="6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71936"/>
        <c:axId val="129405696"/>
      </c:lineChart>
      <c:catAx>
        <c:axId val="12807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Woodland size class (ha) </a:t>
                </a:r>
              </a:p>
            </c:rich>
          </c:tx>
          <c:layout>
            <c:manualLayout>
              <c:xMode val="edge"/>
              <c:yMode val="edge"/>
              <c:x val="0.36355485909937391"/>
              <c:y val="0.9185694019067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9405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40569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071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115944359269565"/>
          <c:y val="0.14036502974689927"/>
          <c:w val="0.13469059832552957"/>
          <c:h val="0.177058550524784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data'!$Q$24:$Q$32</c:f>
              <c:numCache>
                <c:formatCode>#,##0.00</c:formatCode>
                <c:ptCount val="9"/>
                <c:pt idx="0">
                  <c:v>1248.7090000000001</c:v>
                </c:pt>
                <c:pt idx="1">
                  <c:v>4697.5730000000003</c:v>
                </c:pt>
                <c:pt idx="2">
                  <c:v>1937.2550000000001</c:v>
                </c:pt>
                <c:pt idx="3">
                  <c:v>2888.6889999999999</c:v>
                </c:pt>
                <c:pt idx="4">
                  <c:v>5379.9080000000004</c:v>
                </c:pt>
                <c:pt idx="5">
                  <c:v>541.12099999999998</c:v>
                </c:pt>
                <c:pt idx="6">
                  <c:v>207.11</c:v>
                </c:pt>
                <c:pt idx="7">
                  <c:v>18.62</c:v>
                </c:pt>
                <c:pt idx="8">
                  <c:v>1.0740000000000001</c:v>
                </c:pt>
              </c:numCache>
            </c:numRef>
          </c:val>
        </c:ser>
        <c:ser>
          <c:idx val="1"/>
          <c:order val="1"/>
          <c:tx>
            <c:strRef>
              <c:f>'Section 13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plus>
            <c:minus>
              <c:numRef>
                <c:f>'Section 13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minus>
          </c:errBars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data'!$R$24:$R$32</c:f>
              <c:numCache>
                <c:formatCode>#,##0.00</c:formatCode>
                <c:ptCount val="9"/>
                <c:pt idx="0">
                  <c:v>13362.86</c:v>
                </c:pt>
                <c:pt idx="1">
                  <c:v>15763.936</c:v>
                </c:pt>
                <c:pt idx="2">
                  <c:v>14528.135</c:v>
                </c:pt>
                <c:pt idx="3">
                  <c:v>8970.9940000000006</c:v>
                </c:pt>
                <c:pt idx="4">
                  <c:v>13944.032999999999</c:v>
                </c:pt>
                <c:pt idx="5">
                  <c:v>6532.4579999999996</c:v>
                </c:pt>
                <c:pt idx="6">
                  <c:v>8023.6409999999996</c:v>
                </c:pt>
                <c:pt idx="7">
                  <c:v>2535.4760000000001</c:v>
                </c:pt>
                <c:pt idx="8">
                  <c:v>915.86300000000006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556864"/>
        <c:axId val="43558400"/>
      </c:barChart>
      <c:catAx>
        <c:axId val="435568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558400"/>
        <c:crosses val="autoZero"/>
        <c:auto val="1"/>
        <c:lblAlgn val="ctr"/>
        <c:lblOffset val="100"/>
        <c:noMultiLvlLbl val="0"/>
      </c:catAx>
      <c:valAx>
        <c:axId val="435584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5568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Oak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data'!$B$37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data'!$G$37,'Section 13 data'!$N$37,'Section 13 data'!$U$37)</c:f>
              <c:numCache>
                <c:formatCode>#,##0.0000</c:formatCode>
                <c:ptCount val="3"/>
                <c:pt idx="0">
                  <c:v>166.41477</c:v>
                </c:pt>
                <c:pt idx="1">
                  <c:v>54230.481999999996</c:v>
                </c:pt>
                <c:pt idx="2">
                  <c:v>108365.696</c:v>
                </c:pt>
              </c:numCache>
            </c:numRef>
          </c:val>
        </c:ser>
        <c:ser>
          <c:idx val="1"/>
          <c:order val="1"/>
          <c:tx>
            <c:strRef>
              <c:f>'Section 13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data'!$G$38,'Section 13 data'!$N$38,'Section 13 data'!$U$38)</c:f>
              <c:numCache>
                <c:formatCode>#,##0.0000</c:formatCode>
                <c:ptCount val="3"/>
                <c:pt idx="0">
                  <c:v>726.11594000000002</c:v>
                </c:pt>
                <c:pt idx="1">
                  <c:v>123711.61500000002</c:v>
                </c:pt>
                <c:pt idx="2">
                  <c:v>933113.01</c:v>
                </c:pt>
              </c:numCache>
            </c:numRef>
          </c:val>
        </c:ser>
        <c:ser>
          <c:idx val="2"/>
          <c:order val="2"/>
          <c:tx>
            <c:strRef>
              <c:f>'Section 13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data'!$G$39,'Section 13 data'!$N$39,'Section 13 data'!$U$39)</c:f>
              <c:numCache>
                <c:formatCode>#,##0.0000</c:formatCode>
                <c:ptCount val="3"/>
                <c:pt idx="0">
                  <c:v>305.05426999999997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34688"/>
        <c:axId val="43636224"/>
      </c:barChart>
      <c:catAx>
        <c:axId val="43634688"/>
        <c:scaling>
          <c:orientation val="maxMin"/>
        </c:scaling>
        <c:delete val="0"/>
        <c:axPos val="l"/>
        <c:majorTickMark val="out"/>
        <c:minorTickMark val="none"/>
        <c:tickLblPos val="nextTo"/>
        <c:crossAx val="43636224"/>
        <c:crosses val="autoZero"/>
        <c:auto val="1"/>
        <c:lblAlgn val="ctr"/>
        <c:lblOffset val="100"/>
        <c:noMultiLvlLbl val="0"/>
      </c:catAx>
      <c:valAx>
        <c:axId val="436362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63468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data'!$B$37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data'!$G$37,'Section 13 data'!$N$37,'Section 13 data'!$U$37)</c:f>
              <c:numCache>
                <c:formatCode>#,##0.0000</c:formatCode>
                <c:ptCount val="3"/>
                <c:pt idx="0">
                  <c:v>166.41477</c:v>
                </c:pt>
                <c:pt idx="1">
                  <c:v>54230.481999999996</c:v>
                </c:pt>
                <c:pt idx="2">
                  <c:v>108365.696</c:v>
                </c:pt>
              </c:numCache>
            </c:numRef>
          </c:val>
        </c:ser>
        <c:ser>
          <c:idx val="1"/>
          <c:order val="1"/>
          <c:tx>
            <c:strRef>
              <c:f>'Section 13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data'!$G$38,'Section 13 data'!$N$38,'Section 13 data'!$U$38)</c:f>
              <c:numCache>
                <c:formatCode>#,##0.0000</c:formatCode>
                <c:ptCount val="3"/>
                <c:pt idx="0">
                  <c:v>726.11594000000002</c:v>
                </c:pt>
                <c:pt idx="1">
                  <c:v>123711.61500000002</c:v>
                </c:pt>
                <c:pt idx="2">
                  <c:v>933113.01</c:v>
                </c:pt>
              </c:numCache>
            </c:numRef>
          </c:val>
        </c:ser>
        <c:ser>
          <c:idx val="2"/>
          <c:order val="2"/>
          <c:tx>
            <c:strRef>
              <c:f>'Section 13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data'!$G$39,'Section 13 data'!$N$39,'Section 13 data'!$U$39)</c:f>
              <c:numCache>
                <c:formatCode>#,##0.0000</c:formatCode>
                <c:ptCount val="3"/>
                <c:pt idx="0">
                  <c:v>305.05426999999997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91392"/>
        <c:axId val="43713664"/>
      </c:barChart>
      <c:catAx>
        <c:axId val="43691392"/>
        <c:scaling>
          <c:orientation val="maxMin"/>
        </c:scaling>
        <c:delete val="0"/>
        <c:axPos val="l"/>
        <c:majorTickMark val="out"/>
        <c:minorTickMark val="none"/>
        <c:tickLblPos val="nextTo"/>
        <c:crossAx val="43713664"/>
        <c:crosses val="autoZero"/>
        <c:auto val="1"/>
        <c:lblAlgn val="ctr"/>
        <c:lblOffset val="100"/>
        <c:noMultiLvlLbl val="0"/>
      </c:catAx>
      <c:valAx>
        <c:axId val="437136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69139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Oak as a proportion of woodland (based on stocked area)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country'!$C$80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country'!$C$81:$C$95</c:f>
              <c:numCache>
                <c:formatCode>#,##0.00</c:formatCode>
                <c:ptCount val="15"/>
                <c:pt idx="0">
                  <c:v>166.40674000000001</c:v>
                </c:pt>
                <c:pt idx="1">
                  <c:v>9.9310200000000002</c:v>
                </c:pt>
                <c:pt idx="2">
                  <c:v>15.9198</c:v>
                </c:pt>
                <c:pt idx="3">
                  <c:v>17.689630000000001</c:v>
                </c:pt>
                <c:pt idx="4">
                  <c:v>7.64114</c:v>
                </c:pt>
                <c:pt idx="5">
                  <c:v>3.93032</c:v>
                </c:pt>
                <c:pt idx="6">
                  <c:v>5.91845</c:v>
                </c:pt>
                <c:pt idx="7">
                  <c:v>17.020970000000002</c:v>
                </c:pt>
                <c:pt idx="8">
                  <c:v>7.5314700000000006</c:v>
                </c:pt>
                <c:pt idx="9">
                  <c:v>5.0955599999999999</c:v>
                </c:pt>
                <c:pt idx="10">
                  <c:v>19.401859999999999</c:v>
                </c:pt>
                <c:pt idx="11">
                  <c:v>11.57648</c:v>
                </c:pt>
                <c:pt idx="12">
                  <c:v>14.881639999999999</c:v>
                </c:pt>
                <c:pt idx="13">
                  <c:v>18.631350000000001</c:v>
                </c:pt>
                <c:pt idx="14">
                  <c:v>11.23349</c:v>
                </c:pt>
              </c:numCache>
            </c:numRef>
          </c:val>
        </c:ser>
        <c:ser>
          <c:idx val="1"/>
          <c:order val="1"/>
          <c:tx>
            <c:strRef>
              <c:f>'Section 13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country'!$D$81:$D$95</c:f>
              <c:numCache>
                <c:formatCode>#,##0.00</c:formatCode>
                <c:ptCount val="15"/>
                <c:pt idx="0">
                  <c:v>726.08481999999992</c:v>
                </c:pt>
                <c:pt idx="1">
                  <c:v>34.917460000000005</c:v>
                </c:pt>
                <c:pt idx="2">
                  <c:v>65.808850000000007</c:v>
                </c:pt>
                <c:pt idx="3">
                  <c:v>73.169330000000002</c:v>
                </c:pt>
                <c:pt idx="4">
                  <c:v>31.41854</c:v>
                </c:pt>
                <c:pt idx="5">
                  <c:v>20.319209999999998</c:v>
                </c:pt>
                <c:pt idx="6">
                  <c:v>24.148019999999999</c:v>
                </c:pt>
                <c:pt idx="7">
                  <c:v>69.315139999999985</c:v>
                </c:pt>
                <c:pt idx="8">
                  <c:v>31.226140000000001</c:v>
                </c:pt>
                <c:pt idx="9">
                  <c:v>33.7864</c:v>
                </c:pt>
                <c:pt idx="10">
                  <c:v>73.991290000000006</c:v>
                </c:pt>
                <c:pt idx="11">
                  <c:v>62.00945999999999</c:v>
                </c:pt>
                <c:pt idx="12">
                  <c:v>65.522970000000001</c:v>
                </c:pt>
                <c:pt idx="13">
                  <c:v>82.33314</c:v>
                </c:pt>
                <c:pt idx="14">
                  <c:v>58.122429999999994</c:v>
                </c:pt>
              </c:numCache>
            </c:numRef>
          </c:val>
        </c:ser>
        <c:ser>
          <c:idx val="2"/>
          <c:order val="2"/>
          <c:tx>
            <c:strRef>
              <c:f>'Section 13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760256"/>
        <c:axId val="43770240"/>
      </c:barChart>
      <c:catAx>
        <c:axId val="43760256"/>
        <c:scaling>
          <c:orientation val="maxMin"/>
        </c:scaling>
        <c:delete val="0"/>
        <c:axPos val="l"/>
        <c:majorTickMark val="out"/>
        <c:minorTickMark val="none"/>
        <c:tickLblPos val="nextTo"/>
        <c:crossAx val="43770240"/>
        <c:crosses val="autoZero"/>
        <c:auto val="1"/>
        <c:lblAlgn val="ctr"/>
        <c:lblOffset val="100"/>
        <c:noMultiLvlLbl val="0"/>
      </c:catAx>
      <c:valAx>
        <c:axId val="4377024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76025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country'!$C$80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country'!$C$81:$C$95</c:f>
              <c:numCache>
                <c:formatCode>#,##0.00</c:formatCode>
                <c:ptCount val="15"/>
                <c:pt idx="0">
                  <c:v>166.40674000000001</c:v>
                </c:pt>
                <c:pt idx="1">
                  <c:v>9.9310200000000002</c:v>
                </c:pt>
                <c:pt idx="2">
                  <c:v>15.9198</c:v>
                </c:pt>
                <c:pt idx="3">
                  <c:v>17.689630000000001</c:v>
                </c:pt>
                <c:pt idx="4">
                  <c:v>7.64114</c:v>
                </c:pt>
                <c:pt idx="5">
                  <c:v>3.93032</c:v>
                </c:pt>
                <c:pt idx="6">
                  <c:v>5.91845</c:v>
                </c:pt>
                <c:pt idx="7">
                  <c:v>17.020970000000002</c:v>
                </c:pt>
                <c:pt idx="8">
                  <c:v>7.5314700000000006</c:v>
                </c:pt>
                <c:pt idx="9">
                  <c:v>5.0955599999999999</c:v>
                </c:pt>
                <c:pt idx="10">
                  <c:v>19.401859999999999</c:v>
                </c:pt>
                <c:pt idx="11">
                  <c:v>11.57648</c:v>
                </c:pt>
                <c:pt idx="12">
                  <c:v>14.881639999999999</c:v>
                </c:pt>
                <c:pt idx="13">
                  <c:v>18.631350000000001</c:v>
                </c:pt>
                <c:pt idx="14">
                  <c:v>11.23349</c:v>
                </c:pt>
              </c:numCache>
            </c:numRef>
          </c:val>
        </c:ser>
        <c:ser>
          <c:idx val="1"/>
          <c:order val="1"/>
          <c:tx>
            <c:strRef>
              <c:f>'Section 13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country'!$D$81:$D$95</c:f>
              <c:numCache>
                <c:formatCode>#,##0.00</c:formatCode>
                <c:ptCount val="15"/>
                <c:pt idx="0">
                  <c:v>726.08481999999992</c:v>
                </c:pt>
                <c:pt idx="1">
                  <c:v>34.917460000000005</c:v>
                </c:pt>
                <c:pt idx="2">
                  <c:v>65.808850000000007</c:v>
                </c:pt>
                <c:pt idx="3">
                  <c:v>73.169330000000002</c:v>
                </c:pt>
                <c:pt idx="4">
                  <c:v>31.41854</c:v>
                </c:pt>
                <c:pt idx="5">
                  <c:v>20.319209999999998</c:v>
                </c:pt>
                <c:pt idx="6">
                  <c:v>24.148019999999999</c:v>
                </c:pt>
                <c:pt idx="7">
                  <c:v>69.315139999999985</c:v>
                </c:pt>
                <c:pt idx="8">
                  <c:v>31.226140000000001</c:v>
                </c:pt>
                <c:pt idx="9">
                  <c:v>33.7864</c:v>
                </c:pt>
                <c:pt idx="10">
                  <c:v>73.991290000000006</c:v>
                </c:pt>
                <c:pt idx="11">
                  <c:v>62.00945999999999</c:v>
                </c:pt>
                <c:pt idx="12">
                  <c:v>65.522970000000001</c:v>
                </c:pt>
                <c:pt idx="13">
                  <c:v>82.33314</c:v>
                </c:pt>
                <c:pt idx="14">
                  <c:v>58.122429999999994</c:v>
                </c:pt>
              </c:numCache>
            </c:numRef>
          </c:val>
        </c:ser>
        <c:ser>
          <c:idx val="2"/>
          <c:order val="2"/>
          <c:tx>
            <c:strRef>
              <c:f>'Section 13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166528"/>
        <c:axId val="234172416"/>
      </c:barChart>
      <c:catAx>
        <c:axId val="234166528"/>
        <c:scaling>
          <c:orientation val="maxMin"/>
        </c:scaling>
        <c:delete val="0"/>
        <c:axPos val="l"/>
        <c:majorTickMark val="out"/>
        <c:minorTickMark val="none"/>
        <c:tickLblPos val="nextTo"/>
        <c:crossAx val="234172416"/>
        <c:crosses val="autoZero"/>
        <c:auto val="1"/>
        <c:lblAlgn val="ctr"/>
        <c:lblOffset val="100"/>
        <c:noMultiLvlLbl val="0"/>
      </c:catAx>
      <c:valAx>
        <c:axId val="23417241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416652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Oak as a proportion of woodland (based on standing volume)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country'!$J$80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country'!$J$81:$J$95</c:f>
              <c:numCache>
                <c:formatCode>#,##0.00</c:formatCode>
                <c:ptCount val="15"/>
                <c:pt idx="0">
                  <c:v>54230.481999999996</c:v>
                </c:pt>
                <c:pt idx="1">
                  <c:v>2638.145</c:v>
                </c:pt>
                <c:pt idx="2">
                  <c:v>6598.741</c:v>
                </c:pt>
                <c:pt idx="3">
                  <c:v>5005.2950000000001</c:v>
                </c:pt>
                <c:pt idx="4">
                  <c:v>1740.885</c:v>
                </c:pt>
                <c:pt idx="5">
                  <c:v>713.86400000000003</c:v>
                </c:pt>
                <c:pt idx="6">
                  <c:v>1867.0359999999998</c:v>
                </c:pt>
                <c:pt idx="7">
                  <c:v>5759.2070000000003</c:v>
                </c:pt>
                <c:pt idx="8">
                  <c:v>1684.7</c:v>
                </c:pt>
                <c:pt idx="9">
                  <c:v>1191.231</c:v>
                </c:pt>
                <c:pt idx="10">
                  <c:v>7810.0700000000006</c:v>
                </c:pt>
                <c:pt idx="11">
                  <c:v>4033.4110000000001</c:v>
                </c:pt>
                <c:pt idx="12">
                  <c:v>4740.93</c:v>
                </c:pt>
                <c:pt idx="13">
                  <c:v>7711.4430000000002</c:v>
                </c:pt>
                <c:pt idx="14">
                  <c:v>2735.5239999999999</c:v>
                </c:pt>
              </c:numCache>
            </c:numRef>
          </c:val>
        </c:ser>
        <c:ser>
          <c:idx val="1"/>
          <c:order val="1"/>
          <c:tx>
            <c:strRef>
              <c:f>'Section 13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country'!$K$81:$K$95</c:f>
              <c:numCache>
                <c:formatCode>#,##0.00</c:formatCode>
                <c:ptCount val="15"/>
                <c:pt idx="0">
                  <c:v>123711.61500000002</c:v>
                </c:pt>
                <c:pt idx="1">
                  <c:v>5087.5760000000009</c:v>
                </c:pt>
                <c:pt idx="2">
                  <c:v>10852.379000000003</c:v>
                </c:pt>
                <c:pt idx="3">
                  <c:v>11175.914999999999</c:v>
                </c:pt>
                <c:pt idx="4">
                  <c:v>4407.7449999999999</c:v>
                </c:pt>
                <c:pt idx="5">
                  <c:v>3332.3940000000002</c:v>
                </c:pt>
                <c:pt idx="6">
                  <c:v>3622.2069999999994</c:v>
                </c:pt>
                <c:pt idx="7">
                  <c:v>11462.568000000001</c:v>
                </c:pt>
                <c:pt idx="8">
                  <c:v>5720.0919999999996</c:v>
                </c:pt>
                <c:pt idx="9">
                  <c:v>4365.4849999999997</c:v>
                </c:pt>
                <c:pt idx="10">
                  <c:v>14044.655999999999</c:v>
                </c:pt>
                <c:pt idx="11">
                  <c:v>12657.940999999999</c:v>
                </c:pt>
                <c:pt idx="12">
                  <c:v>13123.268</c:v>
                </c:pt>
                <c:pt idx="13">
                  <c:v>15007.413</c:v>
                </c:pt>
                <c:pt idx="14">
                  <c:v>8851.9760000000006</c:v>
                </c:pt>
              </c:numCache>
            </c:numRef>
          </c:val>
        </c:ser>
        <c:ser>
          <c:idx val="2"/>
          <c:order val="2"/>
          <c:tx>
            <c:strRef>
              <c:f>'Section 13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484672"/>
        <c:axId val="43486208"/>
      </c:barChart>
      <c:catAx>
        <c:axId val="43484672"/>
        <c:scaling>
          <c:orientation val="maxMin"/>
        </c:scaling>
        <c:delete val="0"/>
        <c:axPos val="l"/>
        <c:majorTickMark val="out"/>
        <c:minorTickMark val="none"/>
        <c:tickLblPos val="nextTo"/>
        <c:crossAx val="43486208"/>
        <c:crosses val="autoZero"/>
        <c:auto val="1"/>
        <c:lblAlgn val="ctr"/>
        <c:lblOffset val="100"/>
        <c:noMultiLvlLbl val="0"/>
      </c:catAx>
      <c:valAx>
        <c:axId val="434862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48467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country'!$J$80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country'!$J$81:$J$95</c:f>
              <c:numCache>
                <c:formatCode>#,##0.00</c:formatCode>
                <c:ptCount val="15"/>
                <c:pt idx="0">
                  <c:v>54230.481999999996</c:v>
                </c:pt>
                <c:pt idx="1">
                  <c:v>2638.145</c:v>
                </c:pt>
                <c:pt idx="2">
                  <c:v>6598.741</c:v>
                </c:pt>
                <c:pt idx="3">
                  <c:v>5005.2950000000001</c:v>
                </c:pt>
                <c:pt idx="4">
                  <c:v>1740.885</c:v>
                </c:pt>
                <c:pt idx="5">
                  <c:v>713.86400000000003</c:v>
                </c:pt>
                <c:pt idx="6">
                  <c:v>1867.0359999999998</c:v>
                </c:pt>
                <c:pt idx="7">
                  <c:v>5759.2070000000003</c:v>
                </c:pt>
                <c:pt idx="8">
                  <c:v>1684.7</c:v>
                </c:pt>
                <c:pt idx="9">
                  <c:v>1191.231</c:v>
                </c:pt>
                <c:pt idx="10">
                  <c:v>7810.0700000000006</c:v>
                </c:pt>
                <c:pt idx="11">
                  <c:v>4033.4110000000001</c:v>
                </c:pt>
                <c:pt idx="12">
                  <c:v>4740.93</c:v>
                </c:pt>
                <c:pt idx="13">
                  <c:v>7711.4430000000002</c:v>
                </c:pt>
                <c:pt idx="14">
                  <c:v>2735.5239999999999</c:v>
                </c:pt>
              </c:numCache>
            </c:numRef>
          </c:val>
        </c:ser>
        <c:ser>
          <c:idx val="1"/>
          <c:order val="1"/>
          <c:tx>
            <c:strRef>
              <c:f>'Section 13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country'!$K$81:$K$95</c:f>
              <c:numCache>
                <c:formatCode>#,##0.00</c:formatCode>
                <c:ptCount val="15"/>
                <c:pt idx="0">
                  <c:v>123711.61500000002</c:v>
                </c:pt>
                <c:pt idx="1">
                  <c:v>5087.5760000000009</c:v>
                </c:pt>
                <c:pt idx="2">
                  <c:v>10852.379000000003</c:v>
                </c:pt>
                <c:pt idx="3">
                  <c:v>11175.914999999999</c:v>
                </c:pt>
                <c:pt idx="4">
                  <c:v>4407.7449999999999</c:v>
                </c:pt>
                <c:pt idx="5">
                  <c:v>3332.3940000000002</c:v>
                </c:pt>
                <c:pt idx="6">
                  <c:v>3622.2069999999994</c:v>
                </c:pt>
                <c:pt idx="7">
                  <c:v>11462.568000000001</c:v>
                </c:pt>
                <c:pt idx="8">
                  <c:v>5720.0919999999996</c:v>
                </c:pt>
                <c:pt idx="9">
                  <c:v>4365.4849999999997</c:v>
                </c:pt>
                <c:pt idx="10">
                  <c:v>14044.655999999999</c:v>
                </c:pt>
                <c:pt idx="11">
                  <c:v>12657.940999999999</c:v>
                </c:pt>
                <c:pt idx="12">
                  <c:v>13123.268</c:v>
                </c:pt>
                <c:pt idx="13">
                  <c:v>15007.413</c:v>
                </c:pt>
                <c:pt idx="14">
                  <c:v>8851.9760000000006</c:v>
                </c:pt>
              </c:numCache>
            </c:numRef>
          </c:val>
        </c:ser>
        <c:ser>
          <c:idx val="2"/>
          <c:order val="2"/>
          <c:tx>
            <c:strRef>
              <c:f>'Section 13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213952"/>
        <c:axId val="43215488"/>
      </c:barChart>
      <c:catAx>
        <c:axId val="43213952"/>
        <c:scaling>
          <c:orientation val="maxMin"/>
        </c:scaling>
        <c:delete val="0"/>
        <c:axPos val="l"/>
        <c:majorTickMark val="out"/>
        <c:minorTickMark val="none"/>
        <c:tickLblPos val="nextTo"/>
        <c:crossAx val="43215488"/>
        <c:crosses val="autoZero"/>
        <c:auto val="1"/>
        <c:lblAlgn val="ctr"/>
        <c:lblOffset val="100"/>
        <c:noMultiLvlLbl val="0"/>
      </c:catAx>
      <c:valAx>
        <c:axId val="432154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21395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Oak as a proportion of woodland (based on number of trees)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country'!$Q$80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country'!$Q$81:$Q$95</c:f>
              <c:numCache>
                <c:formatCode>#,##0.00</c:formatCode>
                <c:ptCount val="15"/>
                <c:pt idx="0">
                  <c:v>108365.696</c:v>
                </c:pt>
                <c:pt idx="1">
                  <c:v>5777.7350000000006</c:v>
                </c:pt>
                <c:pt idx="2">
                  <c:v>8644.7729999999992</c:v>
                </c:pt>
                <c:pt idx="3">
                  <c:v>11405.711000000001</c:v>
                </c:pt>
                <c:pt idx="4">
                  <c:v>5426.4170000000004</c:v>
                </c:pt>
                <c:pt idx="5">
                  <c:v>3055.1379999999999</c:v>
                </c:pt>
                <c:pt idx="6">
                  <c:v>3110.9829999999997</c:v>
                </c:pt>
                <c:pt idx="7">
                  <c:v>10394.955</c:v>
                </c:pt>
                <c:pt idx="8">
                  <c:v>8709.9210000000003</c:v>
                </c:pt>
                <c:pt idx="9">
                  <c:v>3244.1680000000001</c:v>
                </c:pt>
                <c:pt idx="10">
                  <c:v>11631.566999999999</c:v>
                </c:pt>
                <c:pt idx="11">
                  <c:v>7605.835</c:v>
                </c:pt>
                <c:pt idx="12">
                  <c:v>10515.347</c:v>
                </c:pt>
                <c:pt idx="13">
                  <c:v>10496.381000000001</c:v>
                </c:pt>
                <c:pt idx="14">
                  <c:v>8346.7649999999994</c:v>
                </c:pt>
              </c:numCache>
            </c:numRef>
          </c:val>
        </c:ser>
        <c:ser>
          <c:idx val="1"/>
          <c:order val="1"/>
          <c:tx>
            <c:strRef>
              <c:f>'Section 13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country'!$R$81:$R$95</c:f>
              <c:numCache>
                <c:formatCode>#,##0.00</c:formatCode>
                <c:ptCount val="15"/>
                <c:pt idx="0">
                  <c:v>933113.01</c:v>
                </c:pt>
                <c:pt idx="1">
                  <c:v>43713.546999999999</c:v>
                </c:pt>
                <c:pt idx="2">
                  <c:v>92391.395000000004</c:v>
                </c:pt>
                <c:pt idx="3">
                  <c:v>88248.150000000009</c:v>
                </c:pt>
                <c:pt idx="4">
                  <c:v>35995.978999999999</c:v>
                </c:pt>
                <c:pt idx="5">
                  <c:v>18633.14</c:v>
                </c:pt>
                <c:pt idx="6">
                  <c:v>24860.564999999999</c:v>
                </c:pt>
                <c:pt idx="7">
                  <c:v>114853.41899999999</c:v>
                </c:pt>
                <c:pt idx="8">
                  <c:v>37471.827999999994</c:v>
                </c:pt>
                <c:pt idx="9">
                  <c:v>47130.169000000002</c:v>
                </c:pt>
                <c:pt idx="10">
                  <c:v>97243.449000000008</c:v>
                </c:pt>
                <c:pt idx="11">
                  <c:v>75343.883999999991</c:v>
                </c:pt>
                <c:pt idx="12">
                  <c:v>79502.684000000008</c:v>
                </c:pt>
                <c:pt idx="13">
                  <c:v>107698.622</c:v>
                </c:pt>
                <c:pt idx="14">
                  <c:v>70026.179000000004</c:v>
                </c:pt>
              </c:numCache>
            </c:numRef>
          </c:val>
        </c:ser>
        <c:ser>
          <c:idx val="2"/>
          <c:order val="2"/>
          <c:tx>
            <c:strRef>
              <c:f>'Section 13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303296"/>
        <c:axId val="43304832"/>
      </c:barChart>
      <c:catAx>
        <c:axId val="43303296"/>
        <c:scaling>
          <c:orientation val="maxMin"/>
        </c:scaling>
        <c:delete val="0"/>
        <c:axPos val="l"/>
        <c:majorTickMark val="out"/>
        <c:minorTickMark val="none"/>
        <c:tickLblPos val="nextTo"/>
        <c:crossAx val="43304832"/>
        <c:crosses val="autoZero"/>
        <c:auto val="1"/>
        <c:lblAlgn val="ctr"/>
        <c:lblOffset val="100"/>
        <c:noMultiLvlLbl val="0"/>
      </c:catAx>
      <c:valAx>
        <c:axId val="4330483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330329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 country'!$Q$80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country'!$Q$81:$Q$95</c:f>
              <c:numCache>
                <c:formatCode>#,##0.00</c:formatCode>
                <c:ptCount val="15"/>
                <c:pt idx="0">
                  <c:v>108365.696</c:v>
                </c:pt>
                <c:pt idx="1">
                  <c:v>5777.7350000000006</c:v>
                </c:pt>
                <c:pt idx="2">
                  <c:v>8644.7729999999992</c:v>
                </c:pt>
                <c:pt idx="3">
                  <c:v>11405.711000000001</c:v>
                </c:pt>
                <c:pt idx="4">
                  <c:v>5426.4170000000004</c:v>
                </c:pt>
                <c:pt idx="5">
                  <c:v>3055.1379999999999</c:v>
                </c:pt>
                <c:pt idx="6">
                  <c:v>3110.9829999999997</c:v>
                </c:pt>
                <c:pt idx="7">
                  <c:v>10394.955</c:v>
                </c:pt>
                <c:pt idx="8">
                  <c:v>8709.9210000000003</c:v>
                </c:pt>
                <c:pt idx="9">
                  <c:v>3244.1680000000001</c:v>
                </c:pt>
                <c:pt idx="10">
                  <c:v>11631.566999999999</c:v>
                </c:pt>
                <c:pt idx="11">
                  <c:v>7605.835</c:v>
                </c:pt>
                <c:pt idx="12">
                  <c:v>10515.347</c:v>
                </c:pt>
                <c:pt idx="13">
                  <c:v>10496.381000000001</c:v>
                </c:pt>
                <c:pt idx="14">
                  <c:v>8346.7649999999994</c:v>
                </c:pt>
              </c:numCache>
            </c:numRef>
          </c:val>
        </c:ser>
        <c:ser>
          <c:idx val="1"/>
          <c:order val="1"/>
          <c:tx>
            <c:strRef>
              <c:f>'Section 13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country'!$R$81:$R$95</c:f>
              <c:numCache>
                <c:formatCode>#,##0.00</c:formatCode>
                <c:ptCount val="15"/>
                <c:pt idx="0">
                  <c:v>933113.01</c:v>
                </c:pt>
                <c:pt idx="1">
                  <c:v>43713.546999999999</c:v>
                </c:pt>
                <c:pt idx="2">
                  <c:v>92391.395000000004</c:v>
                </c:pt>
                <c:pt idx="3">
                  <c:v>88248.150000000009</c:v>
                </c:pt>
                <c:pt idx="4">
                  <c:v>35995.978999999999</c:v>
                </c:pt>
                <c:pt idx="5">
                  <c:v>18633.14</c:v>
                </c:pt>
                <c:pt idx="6">
                  <c:v>24860.564999999999</c:v>
                </c:pt>
                <c:pt idx="7">
                  <c:v>114853.41899999999</c:v>
                </c:pt>
                <c:pt idx="8">
                  <c:v>37471.827999999994</c:v>
                </c:pt>
                <c:pt idx="9">
                  <c:v>47130.169000000002</c:v>
                </c:pt>
                <c:pt idx="10">
                  <c:v>97243.449000000008</c:v>
                </c:pt>
                <c:pt idx="11">
                  <c:v>75343.883999999991</c:v>
                </c:pt>
                <c:pt idx="12">
                  <c:v>79502.684000000008</c:v>
                </c:pt>
                <c:pt idx="13">
                  <c:v>107698.622</c:v>
                </c:pt>
                <c:pt idx="14">
                  <c:v>70026.179000000004</c:v>
                </c:pt>
              </c:numCache>
            </c:numRef>
          </c:val>
        </c:ser>
        <c:ser>
          <c:idx val="2"/>
          <c:order val="2"/>
          <c:tx>
            <c:strRef>
              <c:f>'Section 13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13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705472"/>
        <c:axId val="233707008"/>
      </c:barChart>
      <c:catAx>
        <c:axId val="233705472"/>
        <c:scaling>
          <c:orientation val="maxMin"/>
        </c:scaling>
        <c:delete val="0"/>
        <c:axPos val="l"/>
        <c:majorTickMark val="out"/>
        <c:minorTickMark val="none"/>
        <c:tickLblPos val="nextTo"/>
        <c:crossAx val="233707008"/>
        <c:crosses val="autoZero"/>
        <c:auto val="1"/>
        <c:lblAlgn val="ctr"/>
        <c:lblOffset val="100"/>
        <c:noMultiLvlLbl val="0"/>
      </c:catAx>
      <c:valAx>
        <c:axId val="2337070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370547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sweet chestnut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data'!$C$13:$C$19</c:f>
              <c:numCache>
                <c:formatCode>#,##0.0</c:formatCode>
                <c:ptCount val="7"/>
                <c:pt idx="0">
                  <c:v>7.5310000000000002E-2</c:v>
                </c:pt>
                <c:pt idx="1">
                  <c:v>9.4189999999999996E-2</c:v>
                </c:pt>
                <c:pt idx="2">
                  <c:v>0.16263</c:v>
                </c:pt>
                <c:pt idx="3">
                  <c:v>0.17271000000000003</c:v>
                </c:pt>
                <c:pt idx="4">
                  <c:v>0.12427999999999999</c:v>
                </c:pt>
                <c:pt idx="5">
                  <c:v>0.10303000000000001</c:v>
                </c:pt>
                <c:pt idx="6">
                  <c:v>0.10076000000000002</c:v>
                </c:pt>
              </c:numCache>
            </c:numRef>
          </c:val>
        </c:ser>
        <c:ser>
          <c:idx val="1"/>
          <c:order val="1"/>
          <c:tx>
            <c:strRef>
              <c:f>'Section 14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data'!$F$13:$F$19</c:f>
                <c:numCache>
                  <c:formatCode>General</c:formatCode>
                  <c:ptCount val="7"/>
                  <c:pt idx="0">
                    <c:v>0.46439321139062167</c:v>
                  </c:pt>
                  <c:pt idx="1">
                    <c:v>0.42180943530673121</c:v>
                  </c:pt>
                  <c:pt idx="2">
                    <c:v>1.1168018818668286</c:v>
                  </c:pt>
                  <c:pt idx="3">
                    <c:v>0.69609528988238423</c:v>
                  </c:pt>
                  <c:pt idx="4">
                    <c:v>0.77748114369056831</c:v>
                  </c:pt>
                  <c:pt idx="5">
                    <c:v>0.58363193182211592</c:v>
                  </c:pt>
                  <c:pt idx="6">
                    <c:v>0.78869665077030848</c:v>
                  </c:pt>
                </c:numCache>
              </c:numRef>
            </c:plus>
            <c:minus>
              <c:numRef>
                <c:f>'Section 14 data'!$F$13:$F$19</c:f>
                <c:numCache>
                  <c:formatCode>General</c:formatCode>
                  <c:ptCount val="7"/>
                  <c:pt idx="0">
                    <c:v>0.46439321139062167</c:v>
                  </c:pt>
                  <c:pt idx="1">
                    <c:v>0.42180943530673121</c:v>
                  </c:pt>
                  <c:pt idx="2">
                    <c:v>1.1168018818668286</c:v>
                  </c:pt>
                  <c:pt idx="3">
                    <c:v>0.69609528988238423</c:v>
                  </c:pt>
                  <c:pt idx="4">
                    <c:v>0.77748114369056831</c:v>
                  </c:pt>
                  <c:pt idx="5">
                    <c:v>0.58363193182211592</c:v>
                  </c:pt>
                  <c:pt idx="6">
                    <c:v>0.78869665077030848</c:v>
                  </c:pt>
                </c:numCache>
              </c:numRef>
            </c:minus>
          </c:errBars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data'!$D$13:$D$19</c:f>
              <c:numCache>
                <c:formatCode>#,##0.00</c:formatCode>
                <c:ptCount val="7"/>
                <c:pt idx="0">
                  <c:v>2.1047800000000003</c:v>
                </c:pt>
                <c:pt idx="1">
                  <c:v>2.7436500000000001</c:v>
                </c:pt>
                <c:pt idx="2">
                  <c:v>9.8006099999999989</c:v>
                </c:pt>
                <c:pt idx="3">
                  <c:v>5.0425099999999992</c:v>
                </c:pt>
                <c:pt idx="4">
                  <c:v>4.2275500000000008</c:v>
                </c:pt>
                <c:pt idx="5">
                  <c:v>3.0848199999999997</c:v>
                </c:pt>
                <c:pt idx="6">
                  <c:v>2.26756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762176"/>
        <c:axId val="87340160"/>
      </c:barChart>
      <c:catAx>
        <c:axId val="2337621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87340160"/>
        <c:crosses val="autoZero"/>
        <c:auto val="1"/>
        <c:lblAlgn val="ctr"/>
        <c:lblOffset val="100"/>
        <c:noMultiLvlLbl val="0"/>
      </c:catAx>
      <c:valAx>
        <c:axId val="873401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376217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1'!$B$13:$B$14</c:f>
              <c:strCache>
                <c:ptCount val="2"/>
                <c:pt idx="0">
                  <c:v>Woodland land cover</c:v>
                </c:pt>
                <c:pt idx="1">
                  <c:v>Non-woodland land cover</c:v>
                </c:pt>
              </c:strCache>
            </c:strRef>
          </c:cat>
          <c:val>
            <c:numRef>
              <c:f>'Table 1'!$D$13:$D$14</c:f>
              <c:numCache>
                <c:formatCode>0%</c:formatCode>
                <c:ptCount val="2"/>
                <c:pt idx="0">
                  <c:v>9.9606911036629567E-2</c:v>
                </c:pt>
                <c:pt idx="1">
                  <c:v>0.90039308896337045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21303656597773"/>
          <c:y val="0.12415349887133183"/>
          <c:w val="0.62079305302884047"/>
          <c:h val="0.62528216704288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'Eng Table 8'!$C$5</c:f>
              <c:strCache>
                <c:ptCount val="1"/>
                <c:pt idx="0">
                  <c:v>Total area (ha)</c:v>
                </c:pt>
              </c:strCache>
            </c:strRef>
          </c:tx>
          <c:spPr>
            <a:solidFill>
              <a:srgbClr val="3B9946"/>
            </a:solidFill>
            <a:ln w="19050">
              <a:solidFill>
                <a:schemeClr val="bg1"/>
              </a:solidFill>
            </a:ln>
          </c:spPr>
          <c:invertIfNegative val="0"/>
          <c:cat>
            <c:strRef>
              <c:f>'Eng Table 8'!$B$7:$B$13</c:f>
              <c:strCache>
                <c:ptCount val="7"/>
                <c:pt idx="0">
                  <c:v>&lt;2</c:v>
                </c:pt>
                <c:pt idx="1">
                  <c:v>2 – &lt;10</c:v>
                </c:pt>
                <c:pt idx="2">
                  <c:v>10 – &lt;20</c:v>
                </c:pt>
                <c:pt idx="3">
                  <c:v>20 – &lt;50</c:v>
                </c:pt>
                <c:pt idx="4">
                  <c:v>50 – &lt;100</c:v>
                </c:pt>
                <c:pt idx="5">
                  <c:v>100 – &lt;500</c:v>
                </c:pt>
                <c:pt idx="6">
                  <c:v>500 and &gt;</c:v>
                </c:pt>
              </c:strCache>
            </c:strRef>
          </c:cat>
          <c:val>
            <c:numRef>
              <c:f>'Eng Table 8'!$C$7:$C$13</c:f>
              <c:numCache>
                <c:formatCode>#,##0</c:formatCode>
                <c:ptCount val="7"/>
                <c:pt idx="0">
                  <c:v>144207.63260899999</c:v>
                </c:pt>
                <c:pt idx="1">
                  <c:v>264514.45932600001</c:v>
                </c:pt>
                <c:pt idx="2">
                  <c:v>132457.198611</c:v>
                </c:pt>
                <c:pt idx="3">
                  <c:v>190190.321861</c:v>
                </c:pt>
                <c:pt idx="4">
                  <c:v>151335.83163599999</c:v>
                </c:pt>
                <c:pt idx="5">
                  <c:v>270987.20789899997</c:v>
                </c:pt>
                <c:pt idx="6">
                  <c:v>143972.93580800001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812928"/>
        <c:axId val="128815488"/>
      </c:barChart>
      <c:lineChart>
        <c:grouping val="standard"/>
        <c:varyColors val="0"/>
        <c:ser>
          <c:idx val="1"/>
          <c:order val="1"/>
          <c:tx>
            <c:strRef>
              <c:f>'Eng Table 8'!$D$5</c:f>
              <c:strCache>
                <c:ptCount val="1"/>
                <c:pt idx="0">
                  <c:v>Number of woods</c:v>
                </c:pt>
              </c:strCache>
            </c:strRef>
          </c:tx>
          <c:spPr>
            <a:ln w="38100">
              <a:solidFill>
                <a:srgbClr val="074F28"/>
              </a:solidFill>
            </a:ln>
          </c:spPr>
          <c:marker>
            <c:symbol val="diamond"/>
            <c:size val="5"/>
            <c:spPr>
              <a:solidFill>
                <a:srgbClr val="074F28"/>
              </a:solidFill>
              <a:ln>
                <a:solidFill>
                  <a:srgbClr val="074F28"/>
                </a:solidFill>
              </a:ln>
            </c:spPr>
          </c:marker>
          <c:cat>
            <c:strLit>
              <c:ptCount val="7"/>
              <c:pt idx="0">
                <c:v>&lt;2</c:v>
              </c:pt>
              <c:pt idx="1">
                <c:v>2 - &lt;10</c:v>
              </c:pt>
              <c:pt idx="2">
                <c:v>10 - &lt;20</c:v>
              </c:pt>
              <c:pt idx="3">
                <c:v>20 - &lt;50</c:v>
              </c:pt>
              <c:pt idx="4">
                <c:v>50 - &lt;100</c:v>
              </c:pt>
              <c:pt idx="5">
                <c:v>100 - &lt;500</c:v>
              </c:pt>
              <c:pt idx="6">
                <c:v>500 and &gt;</c:v>
              </c:pt>
            </c:strLit>
          </c:cat>
          <c:val>
            <c:numRef>
              <c:f>'Eng Table 8'!$D$7:$D$13</c:f>
              <c:numCache>
                <c:formatCode>#,##0</c:formatCode>
                <c:ptCount val="7"/>
                <c:pt idx="0">
                  <c:v>144668</c:v>
                </c:pt>
                <c:pt idx="1">
                  <c:v>63468</c:v>
                </c:pt>
                <c:pt idx="2">
                  <c:v>9484</c:v>
                </c:pt>
                <c:pt idx="3">
                  <c:v>6189</c:v>
                </c:pt>
                <c:pt idx="4">
                  <c:v>2181</c:v>
                </c:pt>
                <c:pt idx="5">
                  <c:v>1445</c:v>
                </c:pt>
                <c:pt idx="6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12928"/>
        <c:axId val="128815488"/>
      </c:lineChart>
      <c:catAx>
        <c:axId val="12881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1400"/>
                  <a:t>Woodland size class (ha) </a:t>
                </a:r>
              </a:p>
            </c:rich>
          </c:tx>
          <c:layout>
            <c:manualLayout>
              <c:xMode val="edge"/>
              <c:yMode val="edge"/>
              <c:x val="0.36355485909937391"/>
              <c:y val="0.9185694019067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81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8154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88129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115944359269565"/>
          <c:y val="0.14036502974689927"/>
          <c:w val="0.13469059832552957"/>
          <c:h val="0.177058550524784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data'!$C$13:$C$19</c:f>
              <c:numCache>
                <c:formatCode>#,##0.0</c:formatCode>
                <c:ptCount val="7"/>
                <c:pt idx="0">
                  <c:v>7.5310000000000002E-2</c:v>
                </c:pt>
                <c:pt idx="1">
                  <c:v>9.4189999999999996E-2</c:v>
                </c:pt>
                <c:pt idx="2">
                  <c:v>0.16263</c:v>
                </c:pt>
                <c:pt idx="3">
                  <c:v>0.17271000000000003</c:v>
                </c:pt>
                <c:pt idx="4">
                  <c:v>0.12427999999999999</c:v>
                </c:pt>
                <c:pt idx="5">
                  <c:v>0.10303000000000001</c:v>
                </c:pt>
                <c:pt idx="6">
                  <c:v>0.10076000000000002</c:v>
                </c:pt>
              </c:numCache>
            </c:numRef>
          </c:val>
        </c:ser>
        <c:ser>
          <c:idx val="1"/>
          <c:order val="1"/>
          <c:tx>
            <c:strRef>
              <c:f>'Section 14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data'!$F$13:$F$19</c:f>
                <c:numCache>
                  <c:formatCode>General</c:formatCode>
                  <c:ptCount val="7"/>
                  <c:pt idx="0">
                    <c:v>0.46439321139062167</c:v>
                  </c:pt>
                  <c:pt idx="1">
                    <c:v>0.42180943530673121</c:v>
                  </c:pt>
                  <c:pt idx="2">
                    <c:v>1.1168018818668286</c:v>
                  </c:pt>
                  <c:pt idx="3">
                    <c:v>0.69609528988238423</c:v>
                  </c:pt>
                  <c:pt idx="4">
                    <c:v>0.77748114369056831</c:v>
                  </c:pt>
                  <c:pt idx="5">
                    <c:v>0.58363193182211592</c:v>
                  </c:pt>
                  <c:pt idx="6">
                    <c:v>0.78869665077030848</c:v>
                  </c:pt>
                </c:numCache>
              </c:numRef>
            </c:plus>
            <c:minus>
              <c:numRef>
                <c:f>'Section 14 data'!$F$13:$F$19</c:f>
                <c:numCache>
                  <c:formatCode>General</c:formatCode>
                  <c:ptCount val="7"/>
                  <c:pt idx="0">
                    <c:v>0.46439321139062167</c:v>
                  </c:pt>
                  <c:pt idx="1">
                    <c:v>0.42180943530673121</c:v>
                  </c:pt>
                  <c:pt idx="2">
                    <c:v>1.1168018818668286</c:v>
                  </c:pt>
                  <c:pt idx="3">
                    <c:v>0.69609528988238423</c:v>
                  </c:pt>
                  <c:pt idx="4">
                    <c:v>0.77748114369056831</c:v>
                  </c:pt>
                  <c:pt idx="5">
                    <c:v>0.58363193182211592</c:v>
                  </c:pt>
                  <c:pt idx="6">
                    <c:v>0.78869665077030848</c:v>
                  </c:pt>
                </c:numCache>
              </c:numRef>
            </c:minus>
          </c:errBars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data'!$D$13:$D$19</c:f>
              <c:numCache>
                <c:formatCode>#,##0.00</c:formatCode>
                <c:ptCount val="7"/>
                <c:pt idx="0">
                  <c:v>2.1047800000000003</c:v>
                </c:pt>
                <c:pt idx="1">
                  <c:v>2.7436500000000001</c:v>
                </c:pt>
                <c:pt idx="2">
                  <c:v>9.8006099999999989</c:v>
                </c:pt>
                <c:pt idx="3">
                  <c:v>5.0425099999999992</c:v>
                </c:pt>
                <c:pt idx="4">
                  <c:v>4.2275500000000008</c:v>
                </c:pt>
                <c:pt idx="5">
                  <c:v>3.0848199999999997</c:v>
                </c:pt>
                <c:pt idx="6">
                  <c:v>2.26756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1737088"/>
        <c:axId val="91742976"/>
      </c:barChart>
      <c:catAx>
        <c:axId val="9173708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1742976"/>
        <c:crosses val="autoZero"/>
        <c:auto val="1"/>
        <c:lblAlgn val="ctr"/>
        <c:lblOffset val="100"/>
        <c:noMultiLvlLbl val="0"/>
      </c:catAx>
      <c:valAx>
        <c:axId val="9174297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173708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mean stand diameter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data'!$C$24:$C$32</c:f>
              <c:numCache>
                <c:formatCode>#,##0.00</c:formatCode>
                <c:ptCount val="9"/>
                <c:pt idx="0">
                  <c:v>0.23355999999999999</c:v>
                </c:pt>
                <c:pt idx="1">
                  <c:v>0.10169999999999998</c:v>
                </c:pt>
                <c:pt idx="2">
                  <c:v>6.7330000000000015E-2</c:v>
                </c:pt>
                <c:pt idx="3">
                  <c:v>5.9789999999999996E-2</c:v>
                </c:pt>
                <c:pt idx="4">
                  <c:v>0.16465000000000002</c:v>
                </c:pt>
                <c:pt idx="5">
                  <c:v>0.11511999999999999</c:v>
                </c:pt>
                <c:pt idx="6">
                  <c:v>7.3200000000000001E-2</c:v>
                </c:pt>
                <c:pt idx="7">
                  <c:v>1.4920000000000001E-2</c:v>
                </c:pt>
                <c:pt idx="8">
                  <c:v>2.6700000000000001E-3</c:v>
                </c:pt>
              </c:numCache>
            </c:numRef>
          </c:val>
        </c:ser>
        <c:ser>
          <c:idx val="1"/>
          <c:order val="1"/>
          <c:tx>
            <c:strRef>
              <c:f>'Section 14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data'!$F$24:$F$32</c:f>
                <c:numCache>
                  <c:formatCode>General</c:formatCode>
                  <c:ptCount val="9"/>
                  <c:pt idx="0">
                    <c:v>0.6449169487361357</c:v>
                  </c:pt>
                  <c:pt idx="1">
                    <c:v>0.52583905145689469</c:v>
                  </c:pt>
                  <c:pt idx="2">
                    <c:v>0.79419089880085958</c:v>
                  </c:pt>
                  <c:pt idx="3">
                    <c:v>0.62244971818685679</c:v>
                  </c:pt>
                  <c:pt idx="4">
                    <c:v>0.6463105076351251</c:v>
                  </c:pt>
                  <c:pt idx="5">
                    <c:v>0.52971292730480335</c:v>
                  </c:pt>
                  <c:pt idx="6">
                    <c:v>0.49848609967728064</c:v>
                  </c:pt>
                  <c:pt idx="7">
                    <c:v>0.62810886871669669</c:v>
                  </c:pt>
                  <c:pt idx="8">
                    <c:v>0.73359013571171316</c:v>
                  </c:pt>
                </c:numCache>
              </c:numRef>
            </c:plus>
            <c:minus>
              <c:numRef>
                <c:f>'Section 14 data'!$F$24:$F$32</c:f>
                <c:numCache>
                  <c:formatCode>General</c:formatCode>
                  <c:ptCount val="9"/>
                  <c:pt idx="0">
                    <c:v>0.6449169487361357</c:v>
                  </c:pt>
                  <c:pt idx="1">
                    <c:v>0.52583905145689469</c:v>
                  </c:pt>
                  <c:pt idx="2">
                    <c:v>0.79419089880085958</c:v>
                  </c:pt>
                  <c:pt idx="3">
                    <c:v>0.62244971818685679</c:v>
                  </c:pt>
                  <c:pt idx="4">
                    <c:v>0.6463105076351251</c:v>
                  </c:pt>
                  <c:pt idx="5">
                    <c:v>0.52971292730480335</c:v>
                  </c:pt>
                  <c:pt idx="6">
                    <c:v>0.49848609967728064</c:v>
                  </c:pt>
                  <c:pt idx="7">
                    <c:v>0.62810886871669669</c:v>
                  </c:pt>
                  <c:pt idx="8">
                    <c:v>0.73359013571171316</c:v>
                  </c:pt>
                </c:numCache>
              </c:numRef>
            </c:minus>
          </c:errBars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data'!$D$24:$D$32</c:f>
              <c:numCache>
                <c:formatCode>#,##0.00</c:formatCode>
                <c:ptCount val="9"/>
                <c:pt idx="0">
                  <c:v>3.9387800000000004</c:v>
                </c:pt>
                <c:pt idx="1">
                  <c:v>2.6866799999999995</c:v>
                </c:pt>
                <c:pt idx="2">
                  <c:v>4.8667000000000007</c:v>
                </c:pt>
                <c:pt idx="3">
                  <c:v>4.2242099999999994</c:v>
                </c:pt>
                <c:pt idx="4">
                  <c:v>4.1655500000000005</c:v>
                </c:pt>
                <c:pt idx="5">
                  <c:v>2.9557699999999998</c:v>
                </c:pt>
                <c:pt idx="6">
                  <c:v>3.0426300000000004</c:v>
                </c:pt>
                <c:pt idx="7">
                  <c:v>1.6923399999999997</c:v>
                </c:pt>
                <c:pt idx="8">
                  <c:v>1.6988299999999998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33952"/>
        <c:axId val="43143936"/>
      </c:barChart>
      <c:catAx>
        <c:axId val="4313395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143936"/>
        <c:crosses val="autoZero"/>
        <c:auto val="1"/>
        <c:lblAlgn val="ctr"/>
        <c:lblOffset val="100"/>
        <c:noMultiLvlLbl val="0"/>
      </c:catAx>
      <c:valAx>
        <c:axId val="431439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13395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data'!$C$24:$C$32</c:f>
              <c:numCache>
                <c:formatCode>#,##0.00</c:formatCode>
                <c:ptCount val="9"/>
                <c:pt idx="0">
                  <c:v>0.23355999999999999</c:v>
                </c:pt>
                <c:pt idx="1">
                  <c:v>0.10169999999999998</c:v>
                </c:pt>
                <c:pt idx="2">
                  <c:v>6.7330000000000015E-2</c:v>
                </c:pt>
                <c:pt idx="3">
                  <c:v>5.9789999999999996E-2</c:v>
                </c:pt>
                <c:pt idx="4">
                  <c:v>0.16465000000000002</c:v>
                </c:pt>
                <c:pt idx="5">
                  <c:v>0.11511999999999999</c:v>
                </c:pt>
                <c:pt idx="6">
                  <c:v>7.3200000000000001E-2</c:v>
                </c:pt>
                <c:pt idx="7">
                  <c:v>1.4920000000000001E-2</c:v>
                </c:pt>
                <c:pt idx="8">
                  <c:v>2.6700000000000001E-3</c:v>
                </c:pt>
              </c:numCache>
            </c:numRef>
          </c:val>
        </c:ser>
        <c:ser>
          <c:idx val="1"/>
          <c:order val="1"/>
          <c:tx>
            <c:strRef>
              <c:f>'Section 14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data'!$F$24:$F$32</c:f>
                <c:numCache>
                  <c:formatCode>General</c:formatCode>
                  <c:ptCount val="9"/>
                  <c:pt idx="0">
                    <c:v>0.6449169487361357</c:v>
                  </c:pt>
                  <c:pt idx="1">
                    <c:v>0.52583905145689469</c:v>
                  </c:pt>
                  <c:pt idx="2">
                    <c:v>0.79419089880085958</c:v>
                  </c:pt>
                  <c:pt idx="3">
                    <c:v>0.62244971818685679</c:v>
                  </c:pt>
                  <c:pt idx="4">
                    <c:v>0.6463105076351251</c:v>
                  </c:pt>
                  <c:pt idx="5">
                    <c:v>0.52971292730480335</c:v>
                  </c:pt>
                  <c:pt idx="6">
                    <c:v>0.49848609967728064</c:v>
                  </c:pt>
                  <c:pt idx="7">
                    <c:v>0.62810886871669669</c:v>
                  </c:pt>
                  <c:pt idx="8">
                    <c:v>0.73359013571171316</c:v>
                  </c:pt>
                </c:numCache>
              </c:numRef>
            </c:plus>
            <c:minus>
              <c:numRef>
                <c:f>'Section 14 data'!$F$24:$F$32</c:f>
                <c:numCache>
                  <c:formatCode>General</c:formatCode>
                  <c:ptCount val="9"/>
                  <c:pt idx="0">
                    <c:v>0.6449169487361357</c:v>
                  </c:pt>
                  <c:pt idx="1">
                    <c:v>0.52583905145689469</c:v>
                  </c:pt>
                  <c:pt idx="2">
                    <c:v>0.79419089880085958</c:v>
                  </c:pt>
                  <c:pt idx="3">
                    <c:v>0.62244971818685679</c:v>
                  </c:pt>
                  <c:pt idx="4">
                    <c:v>0.6463105076351251</c:v>
                  </c:pt>
                  <c:pt idx="5">
                    <c:v>0.52971292730480335</c:v>
                  </c:pt>
                  <c:pt idx="6">
                    <c:v>0.49848609967728064</c:v>
                  </c:pt>
                  <c:pt idx="7">
                    <c:v>0.62810886871669669</c:v>
                  </c:pt>
                  <c:pt idx="8">
                    <c:v>0.73359013571171316</c:v>
                  </c:pt>
                </c:numCache>
              </c:numRef>
            </c:minus>
          </c:errBars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data'!$D$24:$D$32</c:f>
              <c:numCache>
                <c:formatCode>#,##0.00</c:formatCode>
                <c:ptCount val="9"/>
                <c:pt idx="0">
                  <c:v>3.9387800000000004</c:v>
                </c:pt>
                <c:pt idx="1">
                  <c:v>2.6866799999999995</c:v>
                </c:pt>
                <c:pt idx="2">
                  <c:v>4.8667000000000007</c:v>
                </c:pt>
                <c:pt idx="3">
                  <c:v>4.2242099999999994</c:v>
                </c:pt>
                <c:pt idx="4">
                  <c:v>4.1655500000000005</c:v>
                </c:pt>
                <c:pt idx="5">
                  <c:v>2.9557699999999998</c:v>
                </c:pt>
                <c:pt idx="6">
                  <c:v>3.0426300000000004</c:v>
                </c:pt>
                <c:pt idx="7">
                  <c:v>1.6923399999999997</c:v>
                </c:pt>
                <c:pt idx="8">
                  <c:v>1.6988299999999998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82720"/>
        <c:axId val="42926464"/>
      </c:barChart>
      <c:catAx>
        <c:axId val="431827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2926464"/>
        <c:crosses val="autoZero"/>
        <c:auto val="1"/>
        <c:lblAlgn val="ctr"/>
        <c:lblOffset val="100"/>
        <c:noMultiLvlLbl val="0"/>
      </c:catAx>
      <c:valAx>
        <c:axId val="4292646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1827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1.036</c:v>
                </c:pt>
                <c:pt idx="2">
                  <c:v>10.099</c:v>
                </c:pt>
                <c:pt idx="3">
                  <c:v>26.523000000000003</c:v>
                </c:pt>
                <c:pt idx="4">
                  <c:v>29.518000000000001</c:v>
                </c:pt>
                <c:pt idx="5">
                  <c:v>26.606000000000002</c:v>
                </c:pt>
                <c:pt idx="6">
                  <c:v>32.856999999999999</c:v>
                </c:pt>
              </c:numCache>
            </c:numRef>
          </c:val>
        </c:ser>
        <c:ser>
          <c:idx val="1"/>
          <c:order val="1"/>
          <c:tx>
            <c:strRef>
              <c:f>'Section 14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data'!$M$13:$M$19</c:f>
                <c:numCache>
                  <c:formatCode>General</c:formatCode>
                  <c:ptCount val="7"/>
                  <c:pt idx="0">
                    <c:v>7.9837875000000003E-2</c:v>
                  </c:pt>
                  <c:pt idx="1">
                    <c:v>44.275270566906919</c:v>
                  </c:pt>
                  <c:pt idx="2">
                    <c:v>304.77671866705992</c:v>
                  </c:pt>
                  <c:pt idx="3">
                    <c:v>285.48956886668981</c:v>
                  </c:pt>
                  <c:pt idx="4">
                    <c:v>283.7840995069202</c:v>
                  </c:pt>
                  <c:pt idx="5">
                    <c:v>260.78662743769809</c:v>
                  </c:pt>
                  <c:pt idx="6">
                    <c:v>304.56043640025763</c:v>
                  </c:pt>
                </c:numCache>
              </c:numRef>
            </c:plus>
            <c:minus>
              <c:numRef>
                <c:f>'Section 14 data'!$M$13:$M$19</c:f>
                <c:numCache>
                  <c:formatCode>General</c:formatCode>
                  <c:ptCount val="7"/>
                  <c:pt idx="0">
                    <c:v>7.9837875000000003E-2</c:v>
                  </c:pt>
                  <c:pt idx="1">
                    <c:v>44.275270566906919</c:v>
                  </c:pt>
                  <c:pt idx="2">
                    <c:v>304.77671866705992</c:v>
                  </c:pt>
                  <c:pt idx="3">
                    <c:v>285.48956886668981</c:v>
                  </c:pt>
                  <c:pt idx="4">
                    <c:v>283.7840995069202</c:v>
                  </c:pt>
                  <c:pt idx="5">
                    <c:v>260.78662743769809</c:v>
                  </c:pt>
                  <c:pt idx="6">
                    <c:v>304.56043640025763</c:v>
                  </c:pt>
                </c:numCache>
              </c:numRef>
            </c:minus>
          </c:errBars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data'!$K$13:$K$19</c:f>
              <c:numCache>
                <c:formatCode>#,##0.00</c:formatCode>
                <c:ptCount val="7"/>
                <c:pt idx="0">
                  <c:v>0.14624999999999999</c:v>
                </c:pt>
                <c:pt idx="1">
                  <c:v>157.37589000000003</c:v>
                </c:pt>
                <c:pt idx="2">
                  <c:v>1930.2500400000001</c:v>
                </c:pt>
                <c:pt idx="3">
                  <c:v>1622.9231499999999</c:v>
                </c:pt>
                <c:pt idx="4">
                  <c:v>1668.7123200000001</c:v>
                </c:pt>
                <c:pt idx="5">
                  <c:v>1116.5983700000002</c:v>
                </c:pt>
                <c:pt idx="6">
                  <c:v>915.42360999999994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986112"/>
        <c:axId val="43020672"/>
      </c:barChart>
      <c:catAx>
        <c:axId val="429861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020672"/>
        <c:crosses val="autoZero"/>
        <c:auto val="1"/>
        <c:lblAlgn val="ctr"/>
        <c:lblOffset val="100"/>
        <c:noMultiLvlLbl val="0"/>
      </c:catAx>
      <c:valAx>
        <c:axId val="430206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29861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963552923171"/>
          <c:y val="8.5777059392499244E-2"/>
          <c:w val="0.78325766183957291"/>
          <c:h val="0.815295881182034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14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1.036</c:v>
                </c:pt>
                <c:pt idx="2">
                  <c:v>10.099</c:v>
                </c:pt>
                <c:pt idx="3">
                  <c:v>26.523000000000003</c:v>
                </c:pt>
                <c:pt idx="4">
                  <c:v>29.518000000000001</c:v>
                </c:pt>
                <c:pt idx="5">
                  <c:v>26.606000000000002</c:v>
                </c:pt>
                <c:pt idx="6">
                  <c:v>32.856999999999999</c:v>
                </c:pt>
              </c:numCache>
            </c:numRef>
          </c:val>
        </c:ser>
        <c:ser>
          <c:idx val="1"/>
          <c:order val="1"/>
          <c:tx>
            <c:strRef>
              <c:f>'Section 14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data'!$M$13:$M$19</c:f>
                <c:numCache>
                  <c:formatCode>General</c:formatCode>
                  <c:ptCount val="7"/>
                  <c:pt idx="0">
                    <c:v>7.9837875000000003E-2</c:v>
                  </c:pt>
                  <c:pt idx="1">
                    <c:v>44.275270566906919</c:v>
                  </c:pt>
                  <c:pt idx="2">
                    <c:v>304.77671866705992</c:v>
                  </c:pt>
                  <c:pt idx="3">
                    <c:v>285.48956886668981</c:v>
                  </c:pt>
                  <c:pt idx="4">
                    <c:v>283.7840995069202</c:v>
                  </c:pt>
                  <c:pt idx="5">
                    <c:v>260.78662743769809</c:v>
                  </c:pt>
                  <c:pt idx="6">
                    <c:v>304.56043640025763</c:v>
                  </c:pt>
                </c:numCache>
              </c:numRef>
            </c:plus>
            <c:minus>
              <c:numRef>
                <c:f>'Section 14 data'!$M$13:$M$19</c:f>
                <c:numCache>
                  <c:formatCode>General</c:formatCode>
                  <c:ptCount val="7"/>
                  <c:pt idx="0">
                    <c:v>7.9837875000000003E-2</c:v>
                  </c:pt>
                  <c:pt idx="1">
                    <c:v>44.275270566906919</c:v>
                  </c:pt>
                  <c:pt idx="2">
                    <c:v>304.77671866705992</c:v>
                  </c:pt>
                  <c:pt idx="3">
                    <c:v>285.48956886668981</c:v>
                  </c:pt>
                  <c:pt idx="4">
                    <c:v>283.7840995069202</c:v>
                  </c:pt>
                  <c:pt idx="5">
                    <c:v>260.78662743769809</c:v>
                  </c:pt>
                  <c:pt idx="6">
                    <c:v>304.56043640025763</c:v>
                  </c:pt>
                </c:numCache>
              </c:numRef>
            </c:minus>
          </c:errBars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data'!$K$13:$K$19</c:f>
              <c:numCache>
                <c:formatCode>#,##0.00</c:formatCode>
                <c:ptCount val="7"/>
                <c:pt idx="0">
                  <c:v>0.14624999999999999</c:v>
                </c:pt>
                <c:pt idx="1">
                  <c:v>157.37589000000003</c:v>
                </c:pt>
                <c:pt idx="2">
                  <c:v>1930.2500400000001</c:v>
                </c:pt>
                <c:pt idx="3">
                  <c:v>1622.9231499999999</c:v>
                </c:pt>
                <c:pt idx="4">
                  <c:v>1668.7123200000001</c:v>
                </c:pt>
                <c:pt idx="5">
                  <c:v>1116.5983700000002</c:v>
                </c:pt>
                <c:pt idx="6">
                  <c:v>915.42360999999994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506368"/>
        <c:axId val="92508160"/>
      </c:barChart>
      <c:catAx>
        <c:axId val="925063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508160"/>
        <c:crosses val="autoZero"/>
        <c:auto val="1"/>
        <c:lblAlgn val="ctr"/>
        <c:lblOffset val="100"/>
        <c:noMultiLvlLbl val="0"/>
      </c:catAx>
      <c:valAx>
        <c:axId val="925081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5063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data'!$J$24:$J$32</c:f>
              <c:numCache>
                <c:formatCode>#,##0.00</c:formatCode>
                <c:ptCount val="9"/>
                <c:pt idx="0">
                  <c:v>2.6859999999999999</c:v>
                </c:pt>
                <c:pt idx="1">
                  <c:v>8.1300000000000008</c:v>
                </c:pt>
                <c:pt idx="2">
                  <c:v>8.2390000000000008</c:v>
                </c:pt>
                <c:pt idx="3">
                  <c:v>12.055999999999999</c:v>
                </c:pt>
                <c:pt idx="4">
                  <c:v>40.307000000000002</c:v>
                </c:pt>
                <c:pt idx="5">
                  <c:v>31.457999999999998</c:v>
                </c:pt>
                <c:pt idx="6">
                  <c:v>19.645</c:v>
                </c:pt>
                <c:pt idx="7">
                  <c:v>3.4009999999999998</c:v>
                </c:pt>
                <c:pt idx="8">
                  <c:v>0.71699999999999997</c:v>
                </c:pt>
              </c:numCache>
            </c:numRef>
          </c:val>
        </c:ser>
        <c:ser>
          <c:idx val="1"/>
          <c:order val="1"/>
          <c:tx>
            <c:strRef>
              <c:f>'Section 14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data'!$M$24:$M$32</c:f>
                <c:numCache>
                  <c:formatCode>General</c:formatCode>
                  <c:ptCount val="9"/>
                  <c:pt idx="0">
                    <c:v>18.358232188655958</c:v>
                  </c:pt>
                  <c:pt idx="1">
                    <c:v>20.15331855929168</c:v>
                  </c:pt>
                  <c:pt idx="2">
                    <c:v>71.09880108955457</c:v>
                  </c:pt>
                  <c:pt idx="3">
                    <c:v>134.30296821403769</c:v>
                  </c:pt>
                  <c:pt idx="4">
                    <c:v>110.64705408102989</c:v>
                  </c:pt>
                  <c:pt idx="5">
                    <c:v>154.84732744598762</c:v>
                  </c:pt>
                  <c:pt idx="6">
                    <c:v>190.46677387909602</c:v>
                  </c:pt>
                  <c:pt idx="7">
                    <c:v>182.70117499883051</c:v>
                  </c:pt>
                  <c:pt idx="8">
                    <c:v>303.82368443719207</c:v>
                  </c:pt>
                </c:numCache>
              </c:numRef>
            </c:plus>
            <c:minus>
              <c:numRef>
                <c:f>'Section 14 data'!$M$24:$M$32</c:f>
                <c:numCache>
                  <c:formatCode>General</c:formatCode>
                  <c:ptCount val="9"/>
                  <c:pt idx="0">
                    <c:v>18.358232188655958</c:v>
                  </c:pt>
                  <c:pt idx="1">
                    <c:v>20.15331855929168</c:v>
                  </c:pt>
                  <c:pt idx="2">
                    <c:v>71.09880108955457</c:v>
                  </c:pt>
                  <c:pt idx="3">
                    <c:v>134.30296821403769</c:v>
                  </c:pt>
                  <c:pt idx="4">
                    <c:v>110.64705408102989</c:v>
                  </c:pt>
                  <c:pt idx="5">
                    <c:v>154.84732744598762</c:v>
                  </c:pt>
                  <c:pt idx="6">
                    <c:v>190.46677387909602</c:v>
                  </c:pt>
                  <c:pt idx="7">
                    <c:v>182.70117499883051</c:v>
                  </c:pt>
                  <c:pt idx="8">
                    <c:v>303.82368443719207</c:v>
                  </c:pt>
                </c:numCache>
              </c:numRef>
            </c:minus>
          </c:errBars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data'!$K$24:$K$32</c:f>
              <c:numCache>
                <c:formatCode>#,##0.00</c:formatCode>
                <c:ptCount val="9"/>
                <c:pt idx="0">
                  <c:v>46.295999999999999</c:v>
                </c:pt>
                <c:pt idx="1">
                  <c:v>239.327</c:v>
                </c:pt>
                <c:pt idx="2">
                  <c:v>793.572</c:v>
                </c:pt>
                <c:pt idx="3">
                  <c:v>1200.3440000000001</c:v>
                </c:pt>
                <c:pt idx="4">
                  <c:v>1275.367</c:v>
                </c:pt>
                <c:pt idx="5">
                  <c:v>1170.3409999999999</c:v>
                </c:pt>
                <c:pt idx="6">
                  <c:v>1532.404</c:v>
                </c:pt>
                <c:pt idx="7">
                  <c:v>632.07299999999998</c:v>
                </c:pt>
                <c:pt idx="8">
                  <c:v>1054.749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600576"/>
        <c:axId val="92155904"/>
      </c:barChart>
      <c:catAx>
        <c:axId val="926005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155904"/>
        <c:crosses val="autoZero"/>
        <c:auto val="1"/>
        <c:lblAlgn val="ctr"/>
        <c:lblOffset val="100"/>
        <c:noMultiLvlLbl val="0"/>
      </c:catAx>
      <c:valAx>
        <c:axId val="921559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60057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data'!$J$24:$J$32</c:f>
              <c:numCache>
                <c:formatCode>#,##0.00</c:formatCode>
                <c:ptCount val="9"/>
                <c:pt idx="0">
                  <c:v>2.6859999999999999</c:v>
                </c:pt>
                <c:pt idx="1">
                  <c:v>8.1300000000000008</c:v>
                </c:pt>
                <c:pt idx="2">
                  <c:v>8.2390000000000008</c:v>
                </c:pt>
                <c:pt idx="3">
                  <c:v>12.055999999999999</c:v>
                </c:pt>
                <c:pt idx="4">
                  <c:v>40.307000000000002</c:v>
                </c:pt>
                <c:pt idx="5">
                  <c:v>31.457999999999998</c:v>
                </c:pt>
                <c:pt idx="6">
                  <c:v>19.645</c:v>
                </c:pt>
                <c:pt idx="7">
                  <c:v>3.4009999999999998</c:v>
                </c:pt>
                <c:pt idx="8">
                  <c:v>0.71699999999999997</c:v>
                </c:pt>
              </c:numCache>
            </c:numRef>
          </c:val>
        </c:ser>
        <c:ser>
          <c:idx val="1"/>
          <c:order val="1"/>
          <c:tx>
            <c:strRef>
              <c:f>'Section 14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data'!$M$24:$M$32</c:f>
                <c:numCache>
                  <c:formatCode>General</c:formatCode>
                  <c:ptCount val="9"/>
                  <c:pt idx="0">
                    <c:v>18.358232188655958</c:v>
                  </c:pt>
                  <c:pt idx="1">
                    <c:v>20.15331855929168</c:v>
                  </c:pt>
                  <c:pt idx="2">
                    <c:v>71.09880108955457</c:v>
                  </c:pt>
                  <c:pt idx="3">
                    <c:v>134.30296821403769</c:v>
                  </c:pt>
                  <c:pt idx="4">
                    <c:v>110.64705408102989</c:v>
                  </c:pt>
                  <c:pt idx="5">
                    <c:v>154.84732744598762</c:v>
                  </c:pt>
                  <c:pt idx="6">
                    <c:v>190.46677387909602</c:v>
                  </c:pt>
                  <c:pt idx="7">
                    <c:v>182.70117499883051</c:v>
                  </c:pt>
                  <c:pt idx="8">
                    <c:v>303.82368443719207</c:v>
                  </c:pt>
                </c:numCache>
              </c:numRef>
            </c:plus>
            <c:minus>
              <c:numRef>
                <c:f>'Section 14 data'!$M$24:$M$32</c:f>
                <c:numCache>
                  <c:formatCode>General</c:formatCode>
                  <c:ptCount val="9"/>
                  <c:pt idx="0">
                    <c:v>18.358232188655958</c:v>
                  </c:pt>
                  <c:pt idx="1">
                    <c:v>20.15331855929168</c:v>
                  </c:pt>
                  <c:pt idx="2">
                    <c:v>71.09880108955457</c:v>
                  </c:pt>
                  <c:pt idx="3">
                    <c:v>134.30296821403769</c:v>
                  </c:pt>
                  <c:pt idx="4">
                    <c:v>110.64705408102989</c:v>
                  </c:pt>
                  <c:pt idx="5">
                    <c:v>154.84732744598762</c:v>
                  </c:pt>
                  <c:pt idx="6">
                    <c:v>190.46677387909602</c:v>
                  </c:pt>
                  <c:pt idx="7">
                    <c:v>182.70117499883051</c:v>
                  </c:pt>
                  <c:pt idx="8">
                    <c:v>303.82368443719207</c:v>
                  </c:pt>
                </c:numCache>
              </c:numRef>
            </c:minus>
          </c:errBars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data'!$K$24:$K$32</c:f>
              <c:numCache>
                <c:formatCode>#,##0.00</c:formatCode>
                <c:ptCount val="9"/>
                <c:pt idx="0">
                  <c:v>46.295999999999999</c:v>
                </c:pt>
                <c:pt idx="1">
                  <c:v>239.327</c:v>
                </c:pt>
                <c:pt idx="2">
                  <c:v>793.572</c:v>
                </c:pt>
                <c:pt idx="3">
                  <c:v>1200.3440000000001</c:v>
                </c:pt>
                <c:pt idx="4">
                  <c:v>1275.367</c:v>
                </c:pt>
                <c:pt idx="5">
                  <c:v>1170.3409999999999</c:v>
                </c:pt>
                <c:pt idx="6">
                  <c:v>1532.404</c:v>
                </c:pt>
                <c:pt idx="7">
                  <c:v>632.07299999999998</c:v>
                </c:pt>
                <c:pt idx="8">
                  <c:v>1054.749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202880"/>
        <c:axId val="92204416"/>
      </c:barChart>
      <c:catAx>
        <c:axId val="9220288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204416"/>
        <c:crosses val="autoZero"/>
        <c:auto val="1"/>
        <c:lblAlgn val="ctr"/>
        <c:lblOffset val="100"/>
        <c:noMultiLvlLbl val="0"/>
      </c:catAx>
      <c:valAx>
        <c:axId val="92204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20288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sweet chestnut trees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data'!$Q$13:$Q$19</c:f>
              <c:numCache>
                <c:formatCode>#,##0.00</c:formatCode>
                <c:ptCount val="7"/>
                <c:pt idx="0">
                  <c:v>12.141</c:v>
                </c:pt>
                <c:pt idx="1">
                  <c:v>231.268</c:v>
                </c:pt>
                <c:pt idx="2">
                  <c:v>641.56399999999996</c:v>
                </c:pt>
                <c:pt idx="3">
                  <c:v>239.00200000000001</c:v>
                </c:pt>
                <c:pt idx="4">
                  <c:v>111.93600000000001</c:v>
                </c:pt>
                <c:pt idx="5">
                  <c:v>56.780999999999999</c:v>
                </c:pt>
                <c:pt idx="6">
                  <c:v>50.233999999999995</c:v>
                </c:pt>
              </c:numCache>
            </c:numRef>
          </c:val>
        </c:ser>
        <c:ser>
          <c:idx val="1"/>
          <c:order val="1"/>
          <c:tx>
            <c:strRef>
              <c:f>'Section 14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1308.9268767465314</c:v>
                  </c:pt>
                  <c:pt idx="2">
                    <c:v>3479.339374981188</c:v>
                  </c:pt>
                  <c:pt idx="3">
                    <c:v>640.65695682165676</c:v>
                  </c:pt>
                  <c:pt idx="4">
                    <c:v>1123.6085481425932</c:v>
                  </c:pt>
                  <c:pt idx="5">
                    <c:v>1621.161619009469</c:v>
                  </c:pt>
                  <c:pt idx="6">
                    <c:v>1040.2554459228108</c:v>
                  </c:pt>
                </c:numCache>
              </c:numRef>
            </c:plus>
            <c:min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1308.9268767465314</c:v>
                  </c:pt>
                  <c:pt idx="2">
                    <c:v>3479.339374981188</c:v>
                  </c:pt>
                  <c:pt idx="3">
                    <c:v>640.65695682165676</c:v>
                  </c:pt>
                  <c:pt idx="4">
                    <c:v>1123.6085481425932</c:v>
                  </c:pt>
                  <c:pt idx="5">
                    <c:v>1621.161619009469</c:v>
                  </c:pt>
                  <c:pt idx="6">
                    <c:v>1040.2554459228108</c:v>
                  </c:pt>
                </c:numCache>
              </c:numRef>
            </c:minus>
          </c:errBars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7579.8090000000002</c:v>
                </c:pt>
                <c:pt idx="2">
                  <c:v>22981.14</c:v>
                </c:pt>
                <c:pt idx="3">
                  <c:v>4243.62</c:v>
                </c:pt>
                <c:pt idx="4">
                  <c:v>3635.4459999999999</c:v>
                </c:pt>
                <c:pt idx="5">
                  <c:v>3953.9270000000001</c:v>
                </c:pt>
                <c:pt idx="6">
                  <c:v>2289.462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276608"/>
        <c:axId val="92278144"/>
      </c:barChart>
      <c:catAx>
        <c:axId val="9227660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278144"/>
        <c:crosses val="autoZero"/>
        <c:auto val="1"/>
        <c:lblAlgn val="ctr"/>
        <c:lblOffset val="100"/>
        <c:noMultiLvlLbl val="0"/>
      </c:catAx>
      <c:valAx>
        <c:axId val="9227814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27660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data'!$Q$13:$Q$19</c:f>
              <c:numCache>
                <c:formatCode>#,##0.00</c:formatCode>
                <c:ptCount val="7"/>
                <c:pt idx="0">
                  <c:v>12.141</c:v>
                </c:pt>
                <c:pt idx="1">
                  <c:v>231.268</c:v>
                </c:pt>
                <c:pt idx="2">
                  <c:v>641.56399999999996</c:v>
                </c:pt>
                <c:pt idx="3">
                  <c:v>239.00200000000001</c:v>
                </c:pt>
                <c:pt idx="4">
                  <c:v>111.93600000000001</c:v>
                </c:pt>
                <c:pt idx="5">
                  <c:v>56.780999999999999</c:v>
                </c:pt>
                <c:pt idx="6">
                  <c:v>50.233999999999995</c:v>
                </c:pt>
              </c:numCache>
            </c:numRef>
          </c:val>
        </c:ser>
        <c:ser>
          <c:idx val="1"/>
          <c:order val="1"/>
          <c:tx>
            <c:strRef>
              <c:f>'Section 14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1308.9268767465314</c:v>
                  </c:pt>
                  <c:pt idx="2">
                    <c:v>3479.339374981188</c:v>
                  </c:pt>
                  <c:pt idx="3">
                    <c:v>640.65695682165676</c:v>
                  </c:pt>
                  <c:pt idx="4">
                    <c:v>1123.6085481425932</c:v>
                  </c:pt>
                  <c:pt idx="5">
                    <c:v>1621.161619009469</c:v>
                  </c:pt>
                  <c:pt idx="6">
                    <c:v>1040.2554459228108</c:v>
                  </c:pt>
                </c:numCache>
              </c:numRef>
            </c:plus>
            <c:min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1308.9268767465314</c:v>
                  </c:pt>
                  <c:pt idx="2">
                    <c:v>3479.339374981188</c:v>
                  </c:pt>
                  <c:pt idx="3">
                    <c:v>640.65695682165676</c:v>
                  </c:pt>
                  <c:pt idx="4">
                    <c:v>1123.6085481425932</c:v>
                  </c:pt>
                  <c:pt idx="5">
                    <c:v>1621.161619009469</c:v>
                  </c:pt>
                  <c:pt idx="6">
                    <c:v>1040.2554459228108</c:v>
                  </c:pt>
                </c:numCache>
              </c:numRef>
            </c:minus>
          </c:errBars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7579.8090000000002</c:v>
                </c:pt>
                <c:pt idx="2">
                  <c:v>22981.14</c:v>
                </c:pt>
                <c:pt idx="3">
                  <c:v>4243.62</c:v>
                </c:pt>
                <c:pt idx="4">
                  <c:v>3635.4459999999999</c:v>
                </c:pt>
                <c:pt idx="5">
                  <c:v>3953.9270000000001</c:v>
                </c:pt>
                <c:pt idx="6">
                  <c:v>2289.462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440064"/>
        <c:axId val="92441600"/>
      </c:barChart>
      <c:catAx>
        <c:axId val="924400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441600"/>
        <c:crosses val="autoZero"/>
        <c:auto val="1"/>
        <c:lblAlgn val="ctr"/>
        <c:lblOffset val="100"/>
        <c:noMultiLvlLbl val="0"/>
      </c:catAx>
      <c:valAx>
        <c:axId val="924416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4400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sweet chestnut trees </a:t>
            </a:r>
            <a:r>
              <a:rPr lang="en-US"/>
              <a:t>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data'!$Q$24:$Q$32</c:f>
              <c:numCache>
                <c:formatCode>#,##0.00</c:formatCode>
                <c:ptCount val="9"/>
                <c:pt idx="0">
                  <c:v>531.86300000000006</c:v>
                </c:pt>
                <c:pt idx="1">
                  <c:v>431.27199999999999</c:v>
                </c:pt>
                <c:pt idx="2">
                  <c:v>139.60499999999999</c:v>
                </c:pt>
                <c:pt idx="3">
                  <c:v>71.747</c:v>
                </c:pt>
                <c:pt idx="4">
                  <c:v>118.127</c:v>
                </c:pt>
                <c:pt idx="5">
                  <c:v>39.709000000000003</c:v>
                </c:pt>
                <c:pt idx="6">
                  <c:v>13.706</c:v>
                </c:pt>
                <c:pt idx="7">
                  <c:v>1.0980000000000001</c:v>
                </c:pt>
                <c:pt idx="8">
                  <c:v>0.109</c:v>
                </c:pt>
              </c:numCache>
            </c:numRef>
          </c:val>
        </c:ser>
        <c:ser>
          <c:idx val="1"/>
          <c:order val="1"/>
          <c:tx>
            <c:strRef>
              <c:f>'Section 14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plus>
            <c:minus>
              <c:numRef>
                <c:f>'Section 14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minus>
          </c:errBars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data'!$R$24:$R$32</c:f>
              <c:numCache>
                <c:formatCode>#,##0.00</c:formatCode>
                <c:ptCount val="9"/>
                <c:pt idx="0">
                  <c:v>13362.86</c:v>
                </c:pt>
                <c:pt idx="1">
                  <c:v>15763.936</c:v>
                </c:pt>
                <c:pt idx="2">
                  <c:v>14528.135</c:v>
                </c:pt>
                <c:pt idx="3">
                  <c:v>8970.9940000000006</c:v>
                </c:pt>
                <c:pt idx="4">
                  <c:v>13944.032999999999</c:v>
                </c:pt>
                <c:pt idx="5">
                  <c:v>6532.4579999999996</c:v>
                </c:pt>
                <c:pt idx="6">
                  <c:v>8023.6409999999996</c:v>
                </c:pt>
                <c:pt idx="7">
                  <c:v>2535.4760000000001</c:v>
                </c:pt>
                <c:pt idx="8">
                  <c:v>915.86300000000006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640768"/>
        <c:axId val="92642304"/>
      </c:barChart>
      <c:catAx>
        <c:axId val="926407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642304"/>
        <c:crosses val="autoZero"/>
        <c:auto val="1"/>
        <c:lblAlgn val="ctr"/>
        <c:lblOffset val="100"/>
        <c:noMultiLvlLbl val="0"/>
      </c:catAx>
      <c:valAx>
        <c:axId val="926423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6407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960" b="0" i="0" u="none" strike="noStrike" baseline="0">
                <a:effectLst/>
              </a:rPr>
              <a:t>Open areas in woodland by land use type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9844314962269278E-2"/>
          <c:y val="0.16610095340518297"/>
          <c:w val="0.58805503302574624"/>
          <c:h val="0.78060376784984464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163A6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33CCCC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6E6E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'Eng Table 9'!$B$8:$B$18</c:f>
              <c:strCache>
                <c:ptCount val="11"/>
                <c:pt idx="0">
                  <c:v>Agricultural</c:v>
                </c:pt>
                <c:pt idx="1">
                  <c:v>Bare area</c:v>
                </c:pt>
                <c:pt idx="2">
                  <c:v>Grass</c:v>
                </c:pt>
                <c:pt idx="3">
                  <c:v>Power line</c:v>
                </c:pt>
                <c:pt idx="4">
                  <c:v>Quarry</c:v>
                </c:pt>
                <c:pt idx="5">
                  <c:v>River</c:v>
                </c:pt>
                <c:pt idx="6">
                  <c:v>Road</c:v>
                </c:pt>
                <c:pt idx="7">
                  <c:v>Urban</c:v>
                </c:pt>
                <c:pt idx="8">
                  <c:v>Other vegetation</c:v>
                </c:pt>
                <c:pt idx="9">
                  <c:v>Open water</c:v>
                </c:pt>
                <c:pt idx="10">
                  <c:v>Wind farm</c:v>
                </c:pt>
              </c:strCache>
            </c:strRef>
          </c:cat>
          <c:val>
            <c:numRef>
              <c:f>'Eng Table 9'!$C$8:$C$18</c:f>
              <c:numCache>
                <c:formatCode>#,##0</c:formatCode>
                <c:ptCount val="11"/>
                <c:pt idx="0">
                  <c:v>2391.1807192925021</c:v>
                </c:pt>
                <c:pt idx="1">
                  <c:v>2396.0311771551574</c:v>
                </c:pt>
                <c:pt idx="2">
                  <c:v>16889.970363061748</c:v>
                </c:pt>
                <c:pt idx="3">
                  <c:v>23.373144635349</c:v>
                </c:pt>
                <c:pt idx="4">
                  <c:v>267.39515890984995</c:v>
                </c:pt>
                <c:pt idx="5">
                  <c:v>15.105991115500101</c:v>
                </c:pt>
                <c:pt idx="6">
                  <c:v>163.37855744125002</c:v>
                </c:pt>
                <c:pt idx="7">
                  <c:v>826.50195682028459</c:v>
                </c:pt>
                <c:pt idx="8">
                  <c:v>1514.8066064809759</c:v>
                </c:pt>
                <c:pt idx="9">
                  <c:v>1164.0875261047292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582935118368202"/>
          <c:y val="0.16297008926515766"/>
          <c:w val="0.16832766911507066"/>
          <c:h val="0.71002243140660048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 rtl="0">
            <a:defRPr sz="8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data'!$Q$24:$Q$32</c:f>
              <c:numCache>
                <c:formatCode>#,##0.00</c:formatCode>
                <c:ptCount val="9"/>
                <c:pt idx="0">
                  <c:v>531.86300000000006</c:v>
                </c:pt>
                <c:pt idx="1">
                  <c:v>431.27199999999999</c:v>
                </c:pt>
                <c:pt idx="2">
                  <c:v>139.60499999999999</c:v>
                </c:pt>
                <c:pt idx="3">
                  <c:v>71.747</c:v>
                </c:pt>
                <c:pt idx="4">
                  <c:v>118.127</c:v>
                </c:pt>
                <c:pt idx="5">
                  <c:v>39.709000000000003</c:v>
                </c:pt>
                <c:pt idx="6">
                  <c:v>13.706</c:v>
                </c:pt>
                <c:pt idx="7">
                  <c:v>1.0980000000000001</c:v>
                </c:pt>
                <c:pt idx="8">
                  <c:v>0.109</c:v>
                </c:pt>
              </c:numCache>
            </c:numRef>
          </c:val>
        </c:ser>
        <c:ser>
          <c:idx val="1"/>
          <c:order val="1"/>
          <c:tx>
            <c:strRef>
              <c:f>'Section 14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plus>
            <c:minus>
              <c:numRef>
                <c:f>'Section 14 data'!$T$24:$T$32</c:f>
                <c:numCache>
                  <c:formatCode>General</c:formatCode>
                  <c:ptCount val="9"/>
                  <c:pt idx="0">
                    <c:v>1492.9851249453693</c:v>
                  </c:pt>
                  <c:pt idx="1">
                    <c:v>1668.2273382390229</c:v>
                  </c:pt>
                  <c:pt idx="2">
                    <c:v>1368.0282162801541</c:v>
                  </c:pt>
                  <c:pt idx="3">
                    <c:v>950.32914668644798</c:v>
                  </c:pt>
                  <c:pt idx="4">
                    <c:v>1092.4179150797122</c:v>
                  </c:pt>
                  <c:pt idx="5">
                    <c:v>645.17393380300462</c:v>
                  </c:pt>
                  <c:pt idx="6">
                    <c:v>501.09496149645986</c:v>
                  </c:pt>
                  <c:pt idx="7">
                    <c:v>249.0610148086989</c:v>
                  </c:pt>
                  <c:pt idx="8">
                    <c:v>150.05386511440688</c:v>
                  </c:pt>
                </c:numCache>
              </c:numRef>
            </c:minus>
          </c:errBars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data'!$R$24:$R$32</c:f>
              <c:numCache>
                <c:formatCode>#,##0.00</c:formatCode>
                <c:ptCount val="9"/>
                <c:pt idx="0">
                  <c:v>13362.86</c:v>
                </c:pt>
                <c:pt idx="1">
                  <c:v>15763.936</c:v>
                </c:pt>
                <c:pt idx="2">
                  <c:v>14528.135</c:v>
                </c:pt>
                <c:pt idx="3">
                  <c:v>8970.9940000000006</c:v>
                </c:pt>
                <c:pt idx="4">
                  <c:v>13944.032999999999</c:v>
                </c:pt>
                <c:pt idx="5">
                  <c:v>6532.4579999999996</c:v>
                </c:pt>
                <c:pt idx="6">
                  <c:v>8023.6409999999996</c:v>
                </c:pt>
                <c:pt idx="7">
                  <c:v>2535.4760000000001</c:v>
                </c:pt>
                <c:pt idx="8">
                  <c:v>915.86300000000006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701824"/>
        <c:axId val="92703360"/>
      </c:barChart>
      <c:catAx>
        <c:axId val="927018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2703360"/>
        <c:crosses val="autoZero"/>
        <c:auto val="1"/>
        <c:lblAlgn val="ctr"/>
        <c:lblOffset val="100"/>
        <c:noMultiLvlLbl val="0"/>
      </c:catAx>
      <c:valAx>
        <c:axId val="927033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27018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Sweet chestnut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data'!$B$37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data'!$G$37,'Section 14 data'!$N$37,'Section 14 data'!$U$37)</c:f>
              <c:numCache>
                <c:formatCode>#,##0.0000</c:formatCode>
                <c:ptCount val="3"/>
                <c:pt idx="0">
                  <c:v>30.071480000000005</c:v>
                </c:pt>
                <c:pt idx="1">
                  <c:v>8071.11</c:v>
                </c:pt>
                <c:pt idx="2">
                  <c:v>46030.64</c:v>
                </c:pt>
              </c:numCache>
            </c:numRef>
          </c:val>
        </c:ser>
        <c:ser>
          <c:idx val="1"/>
          <c:order val="1"/>
          <c:tx>
            <c:strRef>
              <c:f>'Section 14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data'!$G$38,'Section 14 data'!$N$38,'Section 14 data'!$U$38)</c:f>
              <c:numCache>
                <c:formatCode>#,##0.0000</c:formatCode>
                <c:ptCount val="3"/>
                <c:pt idx="0">
                  <c:v>862.45852000000014</c:v>
                </c:pt>
                <c:pt idx="1">
                  <c:v>169870.98700000002</c:v>
                </c:pt>
                <c:pt idx="2">
                  <c:v>995448.06599999999</c:v>
                </c:pt>
              </c:numCache>
            </c:numRef>
          </c:val>
        </c:ser>
        <c:ser>
          <c:idx val="2"/>
          <c:order val="2"/>
          <c:tx>
            <c:strRef>
              <c:f>'Section 14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data'!$G$39,'Section 14 data'!$N$39,'Section 14 data'!$U$39)</c:f>
              <c:numCache>
                <c:formatCode>#,##0.0000</c:formatCode>
                <c:ptCount val="3"/>
                <c:pt idx="0">
                  <c:v>305.05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878528"/>
        <c:axId val="91880064"/>
      </c:barChart>
      <c:catAx>
        <c:axId val="91878528"/>
        <c:scaling>
          <c:orientation val="maxMin"/>
        </c:scaling>
        <c:delete val="0"/>
        <c:axPos val="l"/>
        <c:majorTickMark val="out"/>
        <c:minorTickMark val="none"/>
        <c:tickLblPos val="nextTo"/>
        <c:crossAx val="91880064"/>
        <c:crosses val="autoZero"/>
        <c:auto val="1"/>
        <c:lblAlgn val="ctr"/>
        <c:lblOffset val="100"/>
        <c:noMultiLvlLbl val="0"/>
      </c:catAx>
      <c:valAx>
        <c:axId val="918800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187852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data'!$B$37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data'!$G$37,'Section 14 data'!$N$37,'Section 14 data'!$U$37)</c:f>
              <c:numCache>
                <c:formatCode>#,##0.0000</c:formatCode>
                <c:ptCount val="3"/>
                <c:pt idx="0">
                  <c:v>30.071480000000005</c:v>
                </c:pt>
                <c:pt idx="1">
                  <c:v>8071.11</c:v>
                </c:pt>
                <c:pt idx="2">
                  <c:v>46030.64</c:v>
                </c:pt>
              </c:numCache>
            </c:numRef>
          </c:val>
        </c:ser>
        <c:ser>
          <c:idx val="1"/>
          <c:order val="1"/>
          <c:tx>
            <c:strRef>
              <c:f>'Section 14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data'!$G$38,'Section 14 data'!$N$38,'Section 14 data'!$U$38)</c:f>
              <c:numCache>
                <c:formatCode>#,##0.0000</c:formatCode>
                <c:ptCount val="3"/>
                <c:pt idx="0">
                  <c:v>862.45852000000014</c:v>
                </c:pt>
                <c:pt idx="1">
                  <c:v>169870.98700000002</c:v>
                </c:pt>
                <c:pt idx="2">
                  <c:v>995448.06599999999</c:v>
                </c:pt>
              </c:numCache>
            </c:numRef>
          </c:val>
        </c:ser>
        <c:ser>
          <c:idx val="2"/>
          <c:order val="2"/>
          <c:tx>
            <c:strRef>
              <c:f>'Section 14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data'!$G$39,'Section 14 data'!$N$39,'Section 14 data'!$U$39)</c:f>
              <c:numCache>
                <c:formatCode>#,##0.0000</c:formatCode>
                <c:ptCount val="3"/>
                <c:pt idx="0">
                  <c:v>305.05</c:v>
                </c:pt>
                <c:pt idx="1">
                  <c:v>89995.516000000003</c:v>
                </c:pt>
                <c:pt idx="2">
                  <c:v>305205.06699999998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091136"/>
        <c:axId val="92092672"/>
      </c:barChart>
      <c:catAx>
        <c:axId val="92091136"/>
        <c:scaling>
          <c:orientation val="maxMin"/>
        </c:scaling>
        <c:delete val="0"/>
        <c:axPos val="l"/>
        <c:majorTickMark val="out"/>
        <c:minorTickMark val="none"/>
        <c:tickLblPos val="nextTo"/>
        <c:crossAx val="92092672"/>
        <c:crosses val="autoZero"/>
        <c:auto val="1"/>
        <c:lblAlgn val="ctr"/>
        <c:lblOffset val="100"/>
        <c:noMultiLvlLbl val="0"/>
      </c:catAx>
      <c:valAx>
        <c:axId val="9209267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209113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Sweet</a:t>
            </a:r>
            <a:r>
              <a:rPr lang="en-US" baseline="0"/>
              <a:t> Chestnut</a:t>
            </a:r>
            <a:r>
              <a:rPr lang="en-US"/>
              <a:t> as a proportion of woodland (based on stocked area)</a:t>
            </a:r>
          </a:p>
        </c:rich>
      </c:tx>
      <c:layout>
        <c:manualLayout>
          <c:xMode val="edge"/>
          <c:yMode val="edge"/>
          <c:x val="0.15331286250426476"/>
          <c:y val="6.269592476489028E-3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country'!$C$80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country'!$C$81:$C$95</c:f>
              <c:numCache>
                <c:formatCode>#,##0.00</c:formatCode>
                <c:ptCount val="15"/>
                <c:pt idx="0">
                  <c:v>30.104410000000005</c:v>
                </c:pt>
                <c:pt idx="1">
                  <c:v>5.9000000000000007E-3</c:v>
                </c:pt>
                <c:pt idx="2">
                  <c:v>2.6514300000000004</c:v>
                </c:pt>
                <c:pt idx="3">
                  <c:v>3.8784799999999997</c:v>
                </c:pt>
                <c:pt idx="4">
                  <c:v>1.0200500000000001</c:v>
                </c:pt>
                <c:pt idx="5">
                  <c:v>9.5060000000000006E-2</c:v>
                </c:pt>
                <c:pt idx="6">
                  <c:v>0.17301999999999998</c:v>
                </c:pt>
                <c:pt idx="7">
                  <c:v>12.503170000000001</c:v>
                </c:pt>
                <c:pt idx="8">
                  <c:v>9.9430000000000004E-2</c:v>
                </c:pt>
                <c:pt idx="9">
                  <c:v>0</c:v>
                </c:pt>
                <c:pt idx="10">
                  <c:v>3.8929299999999998</c:v>
                </c:pt>
                <c:pt idx="11">
                  <c:v>1.6849000000000001</c:v>
                </c:pt>
                <c:pt idx="12">
                  <c:v>1.08</c:v>
                </c:pt>
                <c:pt idx="13">
                  <c:v>2.7199999999999998</c:v>
                </c:pt>
                <c:pt idx="14">
                  <c:v>0.30387999999999998</c:v>
                </c:pt>
              </c:numCache>
            </c:numRef>
          </c:val>
        </c:ser>
        <c:ser>
          <c:idx val="1"/>
          <c:order val="1"/>
          <c:tx>
            <c:strRef>
              <c:f>'Section 14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country'!$D$81:$D$95</c:f>
              <c:numCache>
                <c:formatCode>#,##0.00</c:formatCode>
                <c:ptCount val="15"/>
                <c:pt idx="0">
                  <c:v>862.38714999999991</c:v>
                </c:pt>
                <c:pt idx="1">
                  <c:v>44.842580000000005</c:v>
                </c:pt>
                <c:pt idx="2">
                  <c:v>79.077219999999997</c:v>
                </c:pt>
                <c:pt idx="3">
                  <c:v>86.98048</c:v>
                </c:pt>
                <c:pt idx="4">
                  <c:v>38.039630000000002</c:v>
                </c:pt>
                <c:pt idx="5">
                  <c:v>24.15447</c:v>
                </c:pt>
                <c:pt idx="6">
                  <c:v>29.893449999999998</c:v>
                </c:pt>
                <c:pt idx="7">
                  <c:v>73.832939999999994</c:v>
                </c:pt>
                <c:pt idx="8">
                  <c:v>38.658180000000002</c:v>
                </c:pt>
                <c:pt idx="9">
                  <c:v>38.881959999999999</c:v>
                </c:pt>
                <c:pt idx="10">
                  <c:v>89.500220000000013</c:v>
                </c:pt>
                <c:pt idx="11">
                  <c:v>71.901039999999995</c:v>
                </c:pt>
                <c:pt idx="12">
                  <c:v>79.324610000000007</c:v>
                </c:pt>
                <c:pt idx="13">
                  <c:v>98.244489999999999</c:v>
                </c:pt>
                <c:pt idx="14">
                  <c:v>69.052039999999991</c:v>
                </c:pt>
              </c:numCache>
            </c:numRef>
          </c:val>
        </c:ser>
        <c:ser>
          <c:idx val="2"/>
          <c:order val="2"/>
          <c:tx>
            <c:strRef>
              <c:f>'Section 14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766912"/>
        <c:axId val="233768448"/>
      </c:barChart>
      <c:catAx>
        <c:axId val="233766912"/>
        <c:scaling>
          <c:orientation val="maxMin"/>
        </c:scaling>
        <c:delete val="0"/>
        <c:axPos val="l"/>
        <c:majorTickMark val="out"/>
        <c:minorTickMark val="none"/>
        <c:tickLblPos val="nextTo"/>
        <c:crossAx val="233768448"/>
        <c:crosses val="autoZero"/>
        <c:auto val="1"/>
        <c:lblAlgn val="ctr"/>
        <c:lblOffset val="100"/>
        <c:noMultiLvlLbl val="0"/>
      </c:catAx>
      <c:valAx>
        <c:axId val="23376844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376691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country'!$C$80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country'!$C$81:$C$95</c:f>
              <c:numCache>
                <c:formatCode>#,##0.00</c:formatCode>
                <c:ptCount val="15"/>
                <c:pt idx="0">
                  <c:v>30.104410000000005</c:v>
                </c:pt>
                <c:pt idx="1">
                  <c:v>5.9000000000000007E-3</c:v>
                </c:pt>
                <c:pt idx="2">
                  <c:v>2.6514300000000004</c:v>
                </c:pt>
                <c:pt idx="3">
                  <c:v>3.8784799999999997</c:v>
                </c:pt>
                <c:pt idx="4">
                  <c:v>1.0200500000000001</c:v>
                </c:pt>
                <c:pt idx="5">
                  <c:v>9.5060000000000006E-2</c:v>
                </c:pt>
                <c:pt idx="6">
                  <c:v>0.17301999999999998</c:v>
                </c:pt>
                <c:pt idx="7">
                  <c:v>12.503170000000001</c:v>
                </c:pt>
                <c:pt idx="8">
                  <c:v>9.9430000000000004E-2</c:v>
                </c:pt>
                <c:pt idx="9">
                  <c:v>0</c:v>
                </c:pt>
                <c:pt idx="10">
                  <c:v>3.8929299999999998</c:v>
                </c:pt>
                <c:pt idx="11">
                  <c:v>1.6849000000000001</c:v>
                </c:pt>
                <c:pt idx="12">
                  <c:v>1.08</c:v>
                </c:pt>
                <c:pt idx="13">
                  <c:v>2.7199999999999998</c:v>
                </c:pt>
                <c:pt idx="14">
                  <c:v>0.30387999999999998</c:v>
                </c:pt>
              </c:numCache>
            </c:numRef>
          </c:val>
        </c:ser>
        <c:ser>
          <c:idx val="1"/>
          <c:order val="1"/>
          <c:tx>
            <c:strRef>
              <c:f>'Section 14 data country'!$D$80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country'!$D$81:$D$95</c:f>
              <c:numCache>
                <c:formatCode>#,##0.00</c:formatCode>
                <c:ptCount val="15"/>
                <c:pt idx="0">
                  <c:v>862.38714999999991</c:v>
                </c:pt>
                <c:pt idx="1">
                  <c:v>44.842580000000005</c:v>
                </c:pt>
                <c:pt idx="2">
                  <c:v>79.077219999999997</c:v>
                </c:pt>
                <c:pt idx="3">
                  <c:v>86.98048</c:v>
                </c:pt>
                <c:pt idx="4">
                  <c:v>38.039630000000002</c:v>
                </c:pt>
                <c:pt idx="5">
                  <c:v>24.15447</c:v>
                </c:pt>
                <c:pt idx="6">
                  <c:v>29.893449999999998</c:v>
                </c:pt>
                <c:pt idx="7">
                  <c:v>73.832939999999994</c:v>
                </c:pt>
                <c:pt idx="8">
                  <c:v>38.658180000000002</c:v>
                </c:pt>
                <c:pt idx="9">
                  <c:v>38.881959999999999</c:v>
                </c:pt>
                <c:pt idx="10">
                  <c:v>89.500220000000013</c:v>
                </c:pt>
                <c:pt idx="11">
                  <c:v>71.901039999999995</c:v>
                </c:pt>
                <c:pt idx="12">
                  <c:v>79.324610000000007</c:v>
                </c:pt>
                <c:pt idx="13">
                  <c:v>98.244489999999999</c:v>
                </c:pt>
                <c:pt idx="14">
                  <c:v>69.052039999999991</c:v>
                </c:pt>
              </c:numCache>
            </c:numRef>
          </c:val>
        </c:ser>
        <c:ser>
          <c:idx val="2"/>
          <c:order val="2"/>
          <c:tx>
            <c:strRef>
              <c:f>'Section 14 data country'!$E$80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country'!$E$81:$E$95</c:f>
              <c:numCache>
                <c:formatCode>#,##0.00</c:formatCode>
                <c:ptCount val="15"/>
                <c:pt idx="0">
                  <c:v>305.06689</c:v>
                </c:pt>
                <c:pt idx="1">
                  <c:v>31.27543</c:v>
                </c:pt>
                <c:pt idx="2">
                  <c:v>24.800020000000004</c:v>
                </c:pt>
                <c:pt idx="3">
                  <c:v>33.330150000000003</c:v>
                </c:pt>
                <c:pt idx="4">
                  <c:v>12.106770000000001</c:v>
                </c:pt>
                <c:pt idx="5">
                  <c:v>2.6481899999999996</c:v>
                </c:pt>
                <c:pt idx="6">
                  <c:v>3.1194000000000002</c:v>
                </c:pt>
                <c:pt idx="7">
                  <c:v>10.2445</c:v>
                </c:pt>
                <c:pt idx="8">
                  <c:v>8.10684</c:v>
                </c:pt>
                <c:pt idx="9">
                  <c:v>61.34901</c:v>
                </c:pt>
                <c:pt idx="10">
                  <c:v>20.796909999999997</c:v>
                </c:pt>
                <c:pt idx="11">
                  <c:v>15.146039999999999</c:v>
                </c:pt>
                <c:pt idx="12">
                  <c:v>20.62396</c:v>
                </c:pt>
                <c:pt idx="13">
                  <c:v>30.078939999999999</c:v>
                </c:pt>
                <c:pt idx="14">
                  <c:v>31.440729999999999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815424"/>
        <c:axId val="234308736"/>
      </c:barChart>
      <c:catAx>
        <c:axId val="233815424"/>
        <c:scaling>
          <c:orientation val="maxMin"/>
        </c:scaling>
        <c:delete val="0"/>
        <c:axPos val="l"/>
        <c:majorTickMark val="out"/>
        <c:minorTickMark val="none"/>
        <c:tickLblPos val="nextTo"/>
        <c:crossAx val="234308736"/>
        <c:crosses val="autoZero"/>
        <c:auto val="1"/>
        <c:lblAlgn val="ctr"/>
        <c:lblOffset val="100"/>
        <c:noMultiLvlLbl val="0"/>
      </c:catAx>
      <c:valAx>
        <c:axId val="2343087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381542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Sweet</a:t>
            </a:r>
            <a:r>
              <a:rPr lang="en-US" baseline="0"/>
              <a:t> Chestnut</a:t>
            </a:r>
            <a:r>
              <a:rPr lang="en-US"/>
              <a:t> as a proportion of woodland (based on standing volume)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country'!$J$80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country'!$J$81:$J$95</c:f>
              <c:numCache>
                <c:formatCode>#,##0.00</c:formatCode>
                <c:ptCount val="15"/>
                <c:pt idx="0">
                  <c:v>16380.068000000001</c:v>
                </c:pt>
                <c:pt idx="1">
                  <c:v>1168.6690000000001</c:v>
                </c:pt>
                <c:pt idx="2">
                  <c:v>1522.9689999999998</c:v>
                </c:pt>
                <c:pt idx="3">
                  <c:v>1626.1680000000001</c:v>
                </c:pt>
                <c:pt idx="4">
                  <c:v>918.19799999999998</c:v>
                </c:pt>
                <c:pt idx="5">
                  <c:v>1322.49</c:v>
                </c:pt>
                <c:pt idx="6">
                  <c:v>528.76599999999996</c:v>
                </c:pt>
                <c:pt idx="7">
                  <c:v>440.28800000000001</c:v>
                </c:pt>
                <c:pt idx="8">
                  <c:v>1161.4470000000001</c:v>
                </c:pt>
                <c:pt idx="9">
                  <c:v>885.81</c:v>
                </c:pt>
                <c:pt idx="10">
                  <c:v>524.74700000000007</c:v>
                </c:pt>
                <c:pt idx="11">
                  <c:v>716.84700000000009</c:v>
                </c:pt>
                <c:pt idx="12">
                  <c:v>1472.0420000000001</c:v>
                </c:pt>
                <c:pt idx="13">
                  <c:v>1309.886</c:v>
                </c:pt>
                <c:pt idx="14">
                  <c:v>2781.741</c:v>
                </c:pt>
              </c:numCache>
            </c:numRef>
          </c:val>
        </c:ser>
        <c:ser>
          <c:idx val="1"/>
          <c:order val="1"/>
          <c:tx>
            <c:strRef>
              <c:f>'Section 14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country'!$K$81:$K$95</c:f>
              <c:numCache>
                <c:formatCode>#,##0.00</c:formatCode>
                <c:ptCount val="15"/>
                <c:pt idx="0">
                  <c:v>161562.02900000001</c:v>
                </c:pt>
                <c:pt idx="1">
                  <c:v>6557.0520000000006</c:v>
                </c:pt>
                <c:pt idx="2">
                  <c:v>15928.151000000003</c:v>
                </c:pt>
                <c:pt idx="3">
                  <c:v>14555.041999999999</c:v>
                </c:pt>
                <c:pt idx="4">
                  <c:v>5230.4319999999998</c:v>
                </c:pt>
                <c:pt idx="5">
                  <c:v>2723.768</c:v>
                </c:pt>
                <c:pt idx="6">
                  <c:v>4960.4769999999999</c:v>
                </c:pt>
                <c:pt idx="7">
                  <c:v>16781.487000000001</c:v>
                </c:pt>
                <c:pt idx="8">
                  <c:v>6243.3449999999993</c:v>
                </c:pt>
                <c:pt idx="9">
                  <c:v>4670.905999999999</c:v>
                </c:pt>
                <c:pt idx="10">
                  <c:v>21329.978999999999</c:v>
                </c:pt>
                <c:pt idx="11">
                  <c:v>15974.504999999999</c:v>
                </c:pt>
                <c:pt idx="12">
                  <c:v>16392.155999999999</c:v>
                </c:pt>
                <c:pt idx="13">
                  <c:v>21408.97</c:v>
                </c:pt>
                <c:pt idx="14">
                  <c:v>8805.759</c:v>
                </c:pt>
              </c:numCache>
            </c:numRef>
          </c:val>
        </c:ser>
        <c:ser>
          <c:idx val="2"/>
          <c:order val="2"/>
          <c:tx>
            <c:strRef>
              <c:f>'Section 14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875328"/>
        <c:axId val="233876864"/>
      </c:barChart>
      <c:catAx>
        <c:axId val="233875328"/>
        <c:scaling>
          <c:orientation val="maxMin"/>
        </c:scaling>
        <c:delete val="0"/>
        <c:axPos val="l"/>
        <c:majorTickMark val="out"/>
        <c:minorTickMark val="none"/>
        <c:tickLblPos val="nextTo"/>
        <c:crossAx val="233876864"/>
        <c:crosses val="autoZero"/>
        <c:auto val="1"/>
        <c:lblAlgn val="ctr"/>
        <c:lblOffset val="100"/>
        <c:noMultiLvlLbl val="0"/>
      </c:catAx>
      <c:valAx>
        <c:axId val="2338768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387532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country'!$J$80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country'!$J$81:$J$95</c:f>
              <c:numCache>
                <c:formatCode>#,##0.00</c:formatCode>
                <c:ptCount val="15"/>
                <c:pt idx="0">
                  <c:v>16380.068000000001</c:v>
                </c:pt>
                <c:pt idx="1">
                  <c:v>1168.6690000000001</c:v>
                </c:pt>
                <c:pt idx="2">
                  <c:v>1522.9689999999998</c:v>
                </c:pt>
                <c:pt idx="3">
                  <c:v>1626.1680000000001</c:v>
                </c:pt>
                <c:pt idx="4">
                  <c:v>918.19799999999998</c:v>
                </c:pt>
                <c:pt idx="5">
                  <c:v>1322.49</c:v>
                </c:pt>
                <c:pt idx="6">
                  <c:v>528.76599999999996</c:v>
                </c:pt>
                <c:pt idx="7">
                  <c:v>440.28800000000001</c:v>
                </c:pt>
                <c:pt idx="8">
                  <c:v>1161.4470000000001</c:v>
                </c:pt>
                <c:pt idx="9">
                  <c:v>885.81</c:v>
                </c:pt>
                <c:pt idx="10">
                  <c:v>524.74700000000007</c:v>
                </c:pt>
                <c:pt idx="11">
                  <c:v>716.84700000000009</c:v>
                </c:pt>
                <c:pt idx="12">
                  <c:v>1472.0420000000001</c:v>
                </c:pt>
                <c:pt idx="13">
                  <c:v>1309.886</c:v>
                </c:pt>
                <c:pt idx="14">
                  <c:v>2781.741</c:v>
                </c:pt>
              </c:numCache>
            </c:numRef>
          </c:val>
        </c:ser>
        <c:ser>
          <c:idx val="1"/>
          <c:order val="1"/>
          <c:tx>
            <c:strRef>
              <c:f>'Section 14 data country'!$K$80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country'!$K$81:$K$95</c:f>
              <c:numCache>
                <c:formatCode>#,##0.00</c:formatCode>
                <c:ptCount val="15"/>
                <c:pt idx="0">
                  <c:v>161562.02900000001</c:v>
                </c:pt>
                <c:pt idx="1">
                  <c:v>6557.0520000000006</c:v>
                </c:pt>
                <c:pt idx="2">
                  <c:v>15928.151000000003</c:v>
                </c:pt>
                <c:pt idx="3">
                  <c:v>14555.041999999999</c:v>
                </c:pt>
                <c:pt idx="4">
                  <c:v>5230.4319999999998</c:v>
                </c:pt>
                <c:pt idx="5">
                  <c:v>2723.768</c:v>
                </c:pt>
                <c:pt idx="6">
                  <c:v>4960.4769999999999</c:v>
                </c:pt>
                <c:pt idx="7">
                  <c:v>16781.487000000001</c:v>
                </c:pt>
                <c:pt idx="8">
                  <c:v>6243.3449999999993</c:v>
                </c:pt>
                <c:pt idx="9">
                  <c:v>4670.905999999999</c:v>
                </c:pt>
                <c:pt idx="10">
                  <c:v>21329.978999999999</c:v>
                </c:pt>
                <c:pt idx="11">
                  <c:v>15974.504999999999</c:v>
                </c:pt>
                <c:pt idx="12">
                  <c:v>16392.155999999999</c:v>
                </c:pt>
                <c:pt idx="13">
                  <c:v>21408.97</c:v>
                </c:pt>
                <c:pt idx="14">
                  <c:v>8805.759</c:v>
                </c:pt>
              </c:numCache>
            </c:numRef>
          </c:val>
        </c:ser>
        <c:ser>
          <c:idx val="2"/>
          <c:order val="2"/>
          <c:tx>
            <c:strRef>
              <c:f>'Section 14 data country'!$L$80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country'!$L$81:$L$95</c:f>
              <c:numCache>
                <c:formatCode>#,##0.00</c:formatCode>
                <c:ptCount val="15"/>
                <c:pt idx="0">
                  <c:v>89995.516000000003</c:v>
                </c:pt>
                <c:pt idx="1">
                  <c:v>8838.6810000000005</c:v>
                </c:pt>
                <c:pt idx="2">
                  <c:v>8251.4529999999995</c:v>
                </c:pt>
                <c:pt idx="3">
                  <c:v>7462.2569999999996</c:v>
                </c:pt>
                <c:pt idx="4">
                  <c:v>3499.62</c:v>
                </c:pt>
                <c:pt idx="5">
                  <c:v>729.23399999999992</c:v>
                </c:pt>
                <c:pt idx="6">
                  <c:v>975.952</c:v>
                </c:pt>
                <c:pt idx="7">
                  <c:v>3359.04</c:v>
                </c:pt>
                <c:pt idx="8">
                  <c:v>1863.3899999999999</c:v>
                </c:pt>
                <c:pt idx="9">
                  <c:v>14821.967000000001</c:v>
                </c:pt>
                <c:pt idx="10">
                  <c:v>6896.2559999999994</c:v>
                </c:pt>
                <c:pt idx="11">
                  <c:v>5408.4549999999999</c:v>
                </c:pt>
                <c:pt idx="12">
                  <c:v>7739.9580000000005</c:v>
                </c:pt>
                <c:pt idx="13">
                  <c:v>11764.850999999999</c:v>
                </c:pt>
                <c:pt idx="14">
                  <c:v>8384.402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042880"/>
        <c:axId val="234044416"/>
      </c:barChart>
      <c:catAx>
        <c:axId val="234042880"/>
        <c:scaling>
          <c:orientation val="maxMin"/>
        </c:scaling>
        <c:delete val="0"/>
        <c:axPos val="l"/>
        <c:majorTickMark val="out"/>
        <c:minorTickMark val="none"/>
        <c:tickLblPos val="nextTo"/>
        <c:crossAx val="234044416"/>
        <c:crosses val="autoZero"/>
        <c:auto val="1"/>
        <c:lblAlgn val="ctr"/>
        <c:lblOffset val="100"/>
        <c:noMultiLvlLbl val="0"/>
      </c:catAx>
      <c:valAx>
        <c:axId val="23404441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404288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Sweet</a:t>
            </a:r>
            <a:r>
              <a:rPr lang="en-US" baseline="0"/>
              <a:t> chestnut</a:t>
            </a:r>
            <a:r>
              <a:rPr lang="en-US"/>
              <a:t> as a proportion of woodland (based on number of trees)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country'!$Q$80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country'!$Q$81:$Q$95</c:f>
              <c:numCache>
                <c:formatCode>#,##0.00</c:formatCode>
                <c:ptCount val="15"/>
                <c:pt idx="0">
                  <c:v>46030.64</c:v>
                </c:pt>
                <c:pt idx="1">
                  <c:v>0.28299999999999997</c:v>
                </c:pt>
                <c:pt idx="2">
                  <c:v>1950.6670000000001</c:v>
                </c:pt>
                <c:pt idx="3">
                  <c:v>3198.23</c:v>
                </c:pt>
                <c:pt idx="4">
                  <c:v>936.01800000000003</c:v>
                </c:pt>
                <c:pt idx="5">
                  <c:v>85.11699999999999</c:v>
                </c:pt>
                <c:pt idx="6">
                  <c:v>170.03800000000001</c:v>
                </c:pt>
                <c:pt idx="7">
                  <c:v>24473.465</c:v>
                </c:pt>
                <c:pt idx="8">
                  <c:v>67.697000000000003</c:v>
                </c:pt>
                <c:pt idx="9">
                  <c:v>0</c:v>
                </c:pt>
                <c:pt idx="10">
                  <c:v>8697.3320000000003</c:v>
                </c:pt>
                <c:pt idx="11">
                  <c:v>1430.7469999999998</c:v>
                </c:pt>
                <c:pt idx="12">
                  <c:v>4082.1859999999997</c:v>
                </c:pt>
                <c:pt idx="13">
                  <c:v>807.65200000000004</c:v>
                </c:pt>
                <c:pt idx="14">
                  <c:v>131.208</c:v>
                </c:pt>
              </c:numCache>
            </c:numRef>
          </c:val>
        </c:ser>
        <c:ser>
          <c:idx val="1"/>
          <c:order val="1"/>
          <c:tx>
            <c:strRef>
              <c:f>'Section 14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country'!$R$81:$R$95</c:f>
              <c:numCache>
                <c:formatCode>#,##0.00</c:formatCode>
                <c:ptCount val="15"/>
                <c:pt idx="0">
                  <c:v>995448.06599999999</c:v>
                </c:pt>
                <c:pt idx="1">
                  <c:v>49490.998999999996</c:v>
                </c:pt>
                <c:pt idx="2">
                  <c:v>99085.501000000004</c:v>
                </c:pt>
                <c:pt idx="3">
                  <c:v>96455.631000000008</c:v>
                </c:pt>
                <c:pt idx="4">
                  <c:v>40486.377999999997</c:v>
                </c:pt>
                <c:pt idx="5">
                  <c:v>21603.161</c:v>
                </c:pt>
                <c:pt idx="6">
                  <c:v>27801.51</c:v>
                </c:pt>
                <c:pt idx="7">
                  <c:v>100774.909</c:v>
                </c:pt>
                <c:pt idx="8">
                  <c:v>46114.051999999996</c:v>
                </c:pt>
                <c:pt idx="9">
                  <c:v>50374.337</c:v>
                </c:pt>
                <c:pt idx="10">
                  <c:v>100177.68400000001</c:v>
                </c:pt>
                <c:pt idx="11">
                  <c:v>81518.971999999994</c:v>
                </c:pt>
                <c:pt idx="12">
                  <c:v>85935.845000000001</c:v>
                </c:pt>
                <c:pt idx="13">
                  <c:v>117387.351</c:v>
                </c:pt>
                <c:pt idx="14">
                  <c:v>78241.736000000004</c:v>
                </c:pt>
              </c:numCache>
            </c:numRef>
          </c:val>
        </c:ser>
        <c:ser>
          <c:idx val="2"/>
          <c:order val="2"/>
          <c:tx>
            <c:strRef>
              <c:f>'Section 14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742528"/>
        <c:axId val="234744064"/>
      </c:barChart>
      <c:catAx>
        <c:axId val="234742528"/>
        <c:scaling>
          <c:orientation val="maxMin"/>
        </c:scaling>
        <c:delete val="0"/>
        <c:axPos val="l"/>
        <c:majorTickMark val="out"/>
        <c:minorTickMark val="none"/>
        <c:tickLblPos val="nextTo"/>
        <c:crossAx val="234744064"/>
        <c:crosses val="autoZero"/>
        <c:auto val="1"/>
        <c:lblAlgn val="ctr"/>
        <c:lblOffset val="100"/>
        <c:noMultiLvlLbl val="0"/>
      </c:catAx>
      <c:valAx>
        <c:axId val="2347440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474252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 country'!$Q$80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country'!$Q$81:$Q$95</c:f>
              <c:numCache>
                <c:formatCode>#,##0.00</c:formatCode>
                <c:ptCount val="15"/>
                <c:pt idx="0">
                  <c:v>46030.64</c:v>
                </c:pt>
                <c:pt idx="1">
                  <c:v>0.28299999999999997</c:v>
                </c:pt>
                <c:pt idx="2">
                  <c:v>1950.6670000000001</c:v>
                </c:pt>
                <c:pt idx="3">
                  <c:v>3198.23</c:v>
                </c:pt>
                <c:pt idx="4">
                  <c:v>936.01800000000003</c:v>
                </c:pt>
                <c:pt idx="5">
                  <c:v>85.11699999999999</c:v>
                </c:pt>
                <c:pt idx="6">
                  <c:v>170.03800000000001</c:v>
                </c:pt>
                <c:pt idx="7">
                  <c:v>24473.465</c:v>
                </c:pt>
                <c:pt idx="8">
                  <c:v>67.697000000000003</c:v>
                </c:pt>
                <c:pt idx="9">
                  <c:v>0</c:v>
                </c:pt>
                <c:pt idx="10">
                  <c:v>8697.3320000000003</c:v>
                </c:pt>
                <c:pt idx="11">
                  <c:v>1430.7469999999998</c:v>
                </c:pt>
                <c:pt idx="12">
                  <c:v>4082.1859999999997</c:v>
                </c:pt>
                <c:pt idx="13">
                  <c:v>807.65200000000004</c:v>
                </c:pt>
                <c:pt idx="14">
                  <c:v>131.208</c:v>
                </c:pt>
              </c:numCache>
            </c:numRef>
          </c:val>
        </c:ser>
        <c:ser>
          <c:idx val="1"/>
          <c:order val="1"/>
          <c:tx>
            <c:strRef>
              <c:f>'Section 14 data country'!$R$80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country'!$R$81:$R$95</c:f>
              <c:numCache>
                <c:formatCode>#,##0.00</c:formatCode>
                <c:ptCount val="15"/>
                <c:pt idx="0">
                  <c:v>995448.06599999999</c:v>
                </c:pt>
                <c:pt idx="1">
                  <c:v>49490.998999999996</c:v>
                </c:pt>
                <c:pt idx="2">
                  <c:v>99085.501000000004</c:v>
                </c:pt>
                <c:pt idx="3">
                  <c:v>96455.631000000008</c:v>
                </c:pt>
                <c:pt idx="4">
                  <c:v>40486.377999999997</c:v>
                </c:pt>
                <c:pt idx="5">
                  <c:v>21603.161</c:v>
                </c:pt>
                <c:pt idx="6">
                  <c:v>27801.51</c:v>
                </c:pt>
                <c:pt idx="7">
                  <c:v>100774.909</c:v>
                </c:pt>
                <c:pt idx="8">
                  <c:v>46114.051999999996</c:v>
                </c:pt>
                <c:pt idx="9">
                  <c:v>50374.337</c:v>
                </c:pt>
                <c:pt idx="10">
                  <c:v>100177.68400000001</c:v>
                </c:pt>
                <c:pt idx="11">
                  <c:v>81518.971999999994</c:v>
                </c:pt>
                <c:pt idx="12">
                  <c:v>85935.845000000001</c:v>
                </c:pt>
                <c:pt idx="13">
                  <c:v>117387.351</c:v>
                </c:pt>
                <c:pt idx="14">
                  <c:v>78241.736000000004</c:v>
                </c:pt>
              </c:numCache>
            </c:numRef>
          </c:val>
        </c:ser>
        <c:ser>
          <c:idx val="2"/>
          <c:order val="2"/>
          <c:tx>
            <c:strRef>
              <c:f>'Section 14 data country'!$S$80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14 data country'!$S$81:$S$95</c:f>
              <c:numCache>
                <c:formatCode>#,##0.00</c:formatCode>
                <c:ptCount val="15"/>
                <c:pt idx="0">
                  <c:v>305205.06699999998</c:v>
                </c:pt>
                <c:pt idx="1">
                  <c:v>39134.611000000004</c:v>
                </c:pt>
                <c:pt idx="2">
                  <c:v>23115.441999999999</c:v>
                </c:pt>
                <c:pt idx="3">
                  <c:v>29342.337</c:v>
                </c:pt>
                <c:pt idx="4">
                  <c:v>9278.0509999999995</c:v>
                </c:pt>
                <c:pt idx="5">
                  <c:v>2143.7979999999998</c:v>
                </c:pt>
                <c:pt idx="6">
                  <c:v>2203.1640000000002</c:v>
                </c:pt>
                <c:pt idx="7">
                  <c:v>9423.9589999999989</c:v>
                </c:pt>
                <c:pt idx="8">
                  <c:v>6499.9409999999998</c:v>
                </c:pt>
                <c:pt idx="9">
                  <c:v>86177.34</c:v>
                </c:pt>
                <c:pt idx="10">
                  <c:v>18261.563999999998</c:v>
                </c:pt>
                <c:pt idx="11">
                  <c:v>11210.630999999999</c:v>
                </c:pt>
                <c:pt idx="12">
                  <c:v>15237.153999999999</c:v>
                </c:pt>
                <c:pt idx="13">
                  <c:v>21582.849000000002</c:v>
                </c:pt>
                <c:pt idx="14">
                  <c:v>31594.226000000002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496384"/>
        <c:axId val="234497920"/>
      </c:barChart>
      <c:catAx>
        <c:axId val="234496384"/>
        <c:scaling>
          <c:orientation val="maxMin"/>
        </c:scaling>
        <c:delete val="0"/>
        <c:axPos val="l"/>
        <c:majorTickMark val="out"/>
        <c:minorTickMark val="none"/>
        <c:tickLblPos val="nextTo"/>
        <c:crossAx val="234497920"/>
        <c:crosses val="autoZero"/>
        <c:auto val="1"/>
        <c:lblAlgn val="ctr"/>
        <c:lblOffset val="100"/>
        <c:noMultiLvlLbl val="0"/>
      </c:catAx>
      <c:valAx>
        <c:axId val="23449792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449638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larch</a:t>
            </a:r>
            <a:r>
              <a:rPr lang="en-US" baseline="0"/>
              <a:t>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data'!$C$13:$C$19</c:f>
              <c:numCache>
                <c:formatCode>#,##0.0</c:formatCode>
                <c:ptCount val="7"/>
                <c:pt idx="0">
                  <c:v>1.0585899999999999</c:v>
                </c:pt>
                <c:pt idx="1">
                  <c:v>1.5634999999999999</c:v>
                </c:pt>
                <c:pt idx="2">
                  <c:v>2.42014</c:v>
                </c:pt>
                <c:pt idx="3">
                  <c:v>3.1853899999999999</c:v>
                </c:pt>
                <c:pt idx="4">
                  <c:v>1.2173499999999999</c:v>
                </c:pt>
                <c:pt idx="5">
                  <c:v>0.38861000000000001</c:v>
                </c:pt>
                <c:pt idx="6">
                  <c:v>7.9049999999999995E-2</c:v>
                </c:pt>
              </c:numCache>
            </c:numRef>
          </c:val>
        </c:ser>
        <c:ser>
          <c:idx val="1"/>
          <c:order val="1"/>
          <c:tx>
            <c:strRef>
              <c:f>'Section 15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data'!$F$13:$F$19</c:f>
                <c:numCache>
                  <c:formatCode>General</c:formatCode>
                  <c:ptCount val="7"/>
                  <c:pt idx="0">
                    <c:v>0.10728689824513722</c:v>
                  </c:pt>
                  <c:pt idx="1">
                    <c:v>0.23344035423548751</c:v>
                  </c:pt>
                  <c:pt idx="2">
                    <c:v>0.70880078528147461</c:v>
                  </c:pt>
                  <c:pt idx="3">
                    <c:v>1.2620841417139281</c:v>
                  </c:pt>
                  <c:pt idx="4">
                    <c:v>0.65735715909502601</c:v>
                  </c:pt>
                  <c:pt idx="5">
                    <c:v>0.10734360688450549</c:v>
                  </c:pt>
                  <c:pt idx="6">
                    <c:v>1.0619231999999999E-2</c:v>
                  </c:pt>
                </c:numCache>
              </c:numRef>
            </c:plus>
            <c:minus>
              <c:numRef>
                <c:f>'Section 15 data'!$F$13:$F$19</c:f>
                <c:numCache>
                  <c:formatCode>General</c:formatCode>
                  <c:ptCount val="7"/>
                  <c:pt idx="0">
                    <c:v>0.10728689824513722</c:v>
                  </c:pt>
                  <c:pt idx="1">
                    <c:v>0.23344035423548751</c:v>
                  </c:pt>
                  <c:pt idx="2">
                    <c:v>0.70880078528147461</c:v>
                  </c:pt>
                  <c:pt idx="3">
                    <c:v>1.2620841417139281</c:v>
                  </c:pt>
                  <c:pt idx="4">
                    <c:v>0.65735715909502601</c:v>
                  </c:pt>
                  <c:pt idx="5">
                    <c:v>0.10734360688450549</c:v>
                  </c:pt>
                  <c:pt idx="6">
                    <c:v>1.0619231999999999E-2</c:v>
                  </c:pt>
                </c:numCache>
              </c:numRef>
            </c:minus>
          </c:errBars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data'!$D$13:$D$19</c:f>
              <c:numCache>
                <c:formatCode>#,##0.00</c:formatCode>
                <c:ptCount val="7"/>
                <c:pt idx="0">
                  <c:v>0.35807000000000005</c:v>
                </c:pt>
                <c:pt idx="1">
                  <c:v>1.1331000000000002</c:v>
                </c:pt>
                <c:pt idx="2">
                  <c:v>7.8218599999999991</c:v>
                </c:pt>
                <c:pt idx="3">
                  <c:v>16.540220000000001</c:v>
                </c:pt>
                <c:pt idx="4">
                  <c:v>4.2594699999999994</c:v>
                </c:pt>
                <c:pt idx="5">
                  <c:v>0.22262999999999999</c:v>
                </c:pt>
                <c:pt idx="6">
                  <c:v>1.072E-2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593280"/>
        <c:axId val="234595072"/>
      </c:barChart>
      <c:catAx>
        <c:axId val="23459328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4595072"/>
        <c:crosses val="autoZero"/>
        <c:auto val="1"/>
        <c:lblAlgn val="ctr"/>
        <c:lblOffset val="100"/>
        <c:noMultiLvlLbl val="0"/>
      </c:catAx>
      <c:valAx>
        <c:axId val="2345950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459328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44314962269278E-2"/>
          <c:y val="0.16610095340518297"/>
          <c:w val="0.58805503302574624"/>
          <c:h val="0.78060376784984464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163A6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33CCCC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6E6E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'Eng Table 9'!$B$8:$B$18</c:f>
              <c:strCache>
                <c:ptCount val="11"/>
                <c:pt idx="0">
                  <c:v>Agricultural</c:v>
                </c:pt>
                <c:pt idx="1">
                  <c:v>Bare area</c:v>
                </c:pt>
                <c:pt idx="2">
                  <c:v>Grass</c:v>
                </c:pt>
                <c:pt idx="3">
                  <c:v>Power line</c:v>
                </c:pt>
                <c:pt idx="4">
                  <c:v>Quarry</c:v>
                </c:pt>
                <c:pt idx="5">
                  <c:v>River</c:v>
                </c:pt>
                <c:pt idx="6">
                  <c:v>Road</c:v>
                </c:pt>
                <c:pt idx="7">
                  <c:v>Urban</c:v>
                </c:pt>
                <c:pt idx="8">
                  <c:v>Other vegetation</c:v>
                </c:pt>
                <c:pt idx="9">
                  <c:v>Open water</c:v>
                </c:pt>
                <c:pt idx="10">
                  <c:v>Wind farm</c:v>
                </c:pt>
              </c:strCache>
            </c:strRef>
          </c:cat>
          <c:val>
            <c:numRef>
              <c:f>'Eng Table 9'!$C$8:$C$18</c:f>
              <c:numCache>
                <c:formatCode>#,##0</c:formatCode>
                <c:ptCount val="11"/>
                <c:pt idx="0">
                  <c:v>2391.1807192925021</c:v>
                </c:pt>
                <c:pt idx="1">
                  <c:v>2396.0311771551574</c:v>
                </c:pt>
                <c:pt idx="2">
                  <c:v>16889.970363061748</c:v>
                </c:pt>
                <c:pt idx="3">
                  <c:v>23.373144635349</c:v>
                </c:pt>
                <c:pt idx="4">
                  <c:v>267.39515890984995</c:v>
                </c:pt>
                <c:pt idx="5">
                  <c:v>15.105991115500101</c:v>
                </c:pt>
                <c:pt idx="6">
                  <c:v>163.37855744125002</c:v>
                </c:pt>
                <c:pt idx="7">
                  <c:v>826.50195682028459</c:v>
                </c:pt>
                <c:pt idx="8">
                  <c:v>1514.8066064809759</c:v>
                </c:pt>
                <c:pt idx="9">
                  <c:v>1164.0875261047292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944514452854648"/>
          <c:y val="0.16297008926515766"/>
          <c:w val="0.21471192097193323"/>
          <c:h val="0.71002243140660048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 rtl="0"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data'!$C$13:$C$19</c:f>
              <c:numCache>
                <c:formatCode>#,##0.0</c:formatCode>
                <c:ptCount val="7"/>
                <c:pt idx="0">
                  <c:v>1.0585899999999999</c:v>
                </c:pt>
                <c:pt idx="1">
                  <c:v>1.5634999999999999</c:v>
                </c:pt>
                <c:pt idx="2">
                  <c:v>2.42014</c:v>
                </c:pt>
                <c:pt idx="3">
                  <c:v>3.1853899999999999</c:v>
                </c:pt>
                <c:pt idx="4">
                  <c:v>1.2173499999999999</c:v>
                </c:pt>
                <c:pt idx="5">
                  <c:v>0.38861000000000001</c:v>
                </c:pt>
                <c:pt idx="6">
                  <c:v>7.9049999999999995E-2</c:v>
                </c:pt>
              </c:numCache>
            </c:numRef>
          </c:val>
        </c:ser>
        <c:ser>
          <c:idx val="1"/>
          <c:order val="1"/>
          <c:tx>
            <c:strRef>
              <c:f>'Section 15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data'!$F$13:$F$19</c:f>
                <c:numCache>
                  <c:formatCode>General</c:formatCode>
                  <c:ptCount val="7"/>
                  <c:pt idx="0">
                    <c:v>0.10728689824513722</c:v>
                  </c:pt>
                  <c:pt idx="1">
                    <c:v>0.23344035423548751</c:v>
                  </c:pt>
                  <c:pt idx="2">
                    <c:v>0.70880078528147461</c:v>
                  </c:pt>
                  <c:pt idx="3">
                    <c:v>1.2620841417139281</c:v>
                  </c:pt>
                  <c:pt idx="4">
                    <c:v>0.65735715909502601</c:v>
                  </c:pt>
                  <c:pt idx="5">
                    <c:v>0.10734360688450549</c:v>
                  </c:pt>
                  <c:pt idx="6">
                    <c:v>1.0619231999999999E-2</c:v>
                  </c:pt>
                </c:numCache>
              </c:numRef>
            </c:plus>
            <c:minus>
              <c:numRef>
                <c:f>'Section 15 data'!$F$13:$F$19</c:f>
                <c:numCache>
                  <c:formatCode>General</c:formatCode>
                  <c:ptCount val="7"/>
                  <c:pt idx="0">
                    <c:v>0.10728689824513722</c:v>
                  </c:pt>
                  <c:pt idx="1">
                    <c:v>0.23344035423548751</c:v>
                  </c:pt>
                  <c:pt idx="2">
                    <c:v>0.70880078528147461</c:v>
                  </c:pt>
                  <c:pt idx="3">
                    <c:v>1.2620841417139281</c:v>
                  </c:pt>
                  <c:pt idx="4">
                    <c:v>0.65735715909502601</c:v>
                  </c:pt>
                  <c:pt idx="5">
                    <c:v>0.10734360688450549</c:v>
                  </c:pt>
                  <c:pt idx="6">
                    <c:v>1.0619231999999999E-2</c:v>
                  </c:pt>
                </c:numCache>
              </c:numRef>
            </c:minus>
          </c:errBars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data'!$D$13:$D$19</c:f>
              <c:numCache>
                <c:formatCode>#,##0.00</c:formatCode>
                <c:ptCount val="7"/>
                <c:pt idx="0">
                  <c:v>0.35807000000000005</c:v>
                </c:pt>
                <c:pt idx="1">
                  <c:v>1.1331000000000002</c:v>
                </c:pt>
                <c:pt idx="2">
                  <c:v>7.8218599999999991</c:v>
                </c:pt>
                <c:pt idx="3">
                  <c:v>16.540220000000001</c:v>
                </c:pt>
                <c:pt idx="4">
                  <c:v>4.2594699999999994</c:v>
                </c:pt>
                <c:pt idx="5">
                  <c:v>0.22262999999999999</c:v>
                </c:pt>
                <c:pt idx="6">
                  <c:v>1.072E-2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678912"/>
        <c:axId val="234680704"/>
      </c:barChart>
      <c:catAx>
        <c:axId val="2346789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4680704"/>
        <c:crosses val="autoZero"/>
        <c:auto val="1"/>
        <c:lblAlgn val="ctr"/>
        <c:lblOffset val="100"/>
        <c:noMultiLvlLbl val="0"/>
      </c:catAx>
      <c:valAx>
        <c:axId val="2346807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467891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Stocked area of larch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data'!$C$24:$C$32</c:f>
              <c:numCache>
                <c:formatCode>#,##0.00</c:formatCode>
                <c:ptCount val="9"/>
                <c:pt idx="0">
                  <c:v>0.82804000000000011</c:v>
                </c:pt>
                <c:pt idx="1">
                  <c:v>0.90040999999999982</c:v>
                </c:pt>
                <c:pt idx="2">
                  <c:v>1.9110799999999999</c:v>
                </c:pt>
                <c:pt idx="3">
                  <c:v>0.78869</c:v>
                </c:pt>
                <c:pt idx="4">
                  <c:v>2.4088900000000004</c:v>
                </c:pt>
                <c:pt idx="5">
                  <c:v>2.11808</c:v>
                </c:pt>
                <c:pt idx="6">
                  <c:v>0.89942999999999995</c:v>
                </c:pt>
                <c:pt idx="7">
                  <c:v>2.6429999999999999E-2</c:v>
                </c:pt>
                <c:pt idx="8">
                  <c:v>1.5089999999999999E-2</c:v>
                </c:pt>
              </c:numCache>
            </c:numRef>
          </c:val>
        </c:ser>
        <c:ser>
          <c:idx val="1"/>
          <c:order val="1"/>
          <c:tx>
            <c:strRef>
              <c:f>'Section 15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data'!$F$24:$F$32</c:f>
                <c:numCache>
                  <c:formatCode>General</c:formatCode>
                  <c:ptCount val="9"/>
                  <c:pt idx="0">
                    <c:v>0.13588670717487641</c:v>
                  </c:pt>
                  <c:pt idx="1">
                    <c:v>0.20006920067707035</c:v>
                  </c:pt>
                  <c:pt idx="2">
                    <c:v>0.16578494941322369</c:v>
                  </c:pt>
                  <c:pt idx="3">
                    <c:v>0.48124569375298271</c:v>
                  </c:pt>
                  <c:pt idx="4">
                    <c:v>0.80105144428031227</c:v>
                  </c:pt>
                  <c:pt idx="5">
                    <c:v>1.0110289700296788</c:v>
                  </c:pt>
                  <c:pt idx="6">
                    <c:v>0.66107541655440027</c:v>
                  </c:pt>
                  <c:pt idx="7">
                    <c:v>0.28902676562248453</c:v>
                  </c:pt>
                  <c:pt idx="8">
                    <c:v>7.7082904081710174E-2</c:v>
                  </c:pt>
                </c:numCache>
              </c:numRef>
            </c:plus>
            <c:minus>
              <c:numRef>
                <c:f>'Section 15 data'!$F$24:$F$32</c:f>
                <c:numCache>
                  <c:formatCode>General</c:formatCode>
                  <c:ptCount val="9"/>
                  <c:pt idx="0">
                    <c:v>0.13588670717487641</c:v>
                  </c:pt>
                  <c:pt idx="1">
                    <c:v>0.20006920067707035</c:v>
                  </c:pt>
                  <c:pt idx="2">
                    <c:v>0.16578494941322369</c:v>
                  </c:pt>
                  <c:pt idx="3">
                    <c:v>0.48124569375298271</c:v>
                  </c:pt>
                  <c:pt idx="4">
                    <c:v>0.80105144428031227</c:v>
                  </c:pt>
                  <c:pt idx="5">
                    <c:v>1.0110289700296788</c:v>
                  </c:pt>
                  <c:pt idx="6">
                    <c:v>0.66107541655440027</c:v>
                  </c:pt>
                  <c:pt idx="7">
                    <c:v>0.28902676562248453</c:v>
                  </c:pt>
                  <c:pt idx="8">
                    <c:v>7.7082904081710174E-2</c:v>
                  </c:pt>
                </c:numCache>
              </c:numRef>
            </c:minus>
          </c:errBars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data'!$D$24:$D$32</c:f>
              <c:numCache>
                <c:formatCode>#,##0.00</c:formatCode>
                <c:ptCount val="9"/>
                <c:pt idx="0">
                  <c:v>0.42347000000000001</c:v>
                </c:pt>
                <c:pt idx="1">
                  <c:v>0.7730800000000001</c:v>
                </c:pt>
                <c:pt idx="2">
                  <c:v>0.89373999999999998</c:v>
                </c:pt>
                <c:pt idx="3">
                  <c:v>3.5272299999999999</c:v>
                </c:pt>
                <c:pt idx="4">
                  <c:v>9.0711300000000001</c:v>
                </c:pt>
                <c:pt idx="5">
                  <c:v>10.19084</c:v>
                </c:pt>
                <c:pt idx="6">
                  <c:v>5.1214099999999991</c:v>
                </c:pt>
                <c:pt idx="7">
                  <c:v>0.26883000000000001</c:v>
                </c:pt>
                <c:pt idx="8">
                  <c:v>7.637999999999999E-2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968960"/>
        <c:axId val="234970496"/>
      </c:barChart>
      <c:catAx>
        <c:axId val="2349689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200" baseline="0"/>
            </a:pPr>
            <a:endParaRPr lang="en-US"/>
          </a:p>
        </c:txPr>
        <c:crossAx val="234970496"/>
        <c:crosses val="autoZero"/>
        <c:auto val="1"/>
        <c:lblAlgn val="ctr"/>
        <c:lblOffset val="100"/>
        <c:noMultiLvlLbl val="0"/>
      </c:catAx>
      <c:valAx>
        <c:axId val="23497049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234968960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data'!$C$24:$C$32</c:f>
              <c:numCache>
                <c:formatCode>#,##0.00</c:formatCode>
                <c:ptCount val="9"/>
                <c:pt idx="0">
                  <c:v>0.82804000000000011</c:v>
                </c:pt>
                <c:pt idx="1">
                  <c:v>0.90040999999999982</c:v>
                </c:pt>
                <c:pt idx="2">
                  <c:v>1.9110799999999999</c:v>
                </c:pt>
                <c:pt idx="3">
                  <c:v>0.78869</c:v>
                </c:pt>
                <c:pt idx="4">
                  <c:v>2.4088900000000004</c:v>
                </c:pt>
                <c:pt idx="5">
                  <c:v>2.11808</c:v>
                </c:pt>
                <c:pt idx="6">
                  <c:v>0.89942999999999995</c:v>
                </c:pt>
                <c:pt idx="7">
                  <c:v>2.6429999999999999E-2</c:v>
                </c:pt>
                <c:pt idx="8">
                  <c:v>1.5089999999999999E-2</c:v>
                </c:pt>
              </c:numCache>
            </c:numRef>
          </c:val>
        </c:ser>
        <c:ser>
          <c:idx val="1"/>
          <c:order val="1"/>
          <c:tx>
            <c:strRef>
              <c:f>'Section 15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data'!$F$24:$F$32</c:f>
                <c:numCache>
                  <c:formatCode>General</c:formatCode>
                  <c:ptCount val="9"/>
                  <c:pt idx="0">
                    <c:v>0.13588670717487641</c:v>
                  </c:pt>
                  <c:pt idx="1">
                    <c:v>0.20006920067707035</c:v>
                  </c:pt>
                  <c:pt idx="2">
                    <c:v>0.16578494941322369</c:v>
                  </c:pt>
                  <c:pt idx="3">
                    <c:v>0.48124569375298271</c:v>
                  </c:pt>
                  <c:pt idx="4">
                    <c:v>0.80105144428031227</c:v>
                  </c:pt>
                  <c:pt idx="5">
                    <c:v>1.0110289700296788</c:v>
                  </c:pt>
                  <c:pt idx="6">
                    <c:v>0.66107541655440027</c:v>
                  </c:pt>
                  <c:pt idx="7">
                    <c:v>0.28902676562248453</c:v>
                  </c:pt>
                  <c:pt idx="8">
                    <c:v>7.7082904081710174E-2</c:v>
                  </c:pt>
                </c:numCache>
              </c:numRef>
            </c:plus>
            <c:minus>
              <c:numRef>
                <c:f>'Section 15 data'!$F$24:$F$32</c:f>
                <c:numCache>
                  <c:formatCode>General</c:formatCode>
                  <c:ptCount val="9"/>
                  <c:pt idx="0">
                    <c:v>0.13588670717487641</c:v>
                  </c:pt>
                  <c:pt idx="1">
                    <c:v>0.20006920067707035</c:v>
                  </c:pt>
                  <c:pt idx="2">
                    <c:v>0.16578494941322369</c:v>
                  </c:pt>
                  <c:pt idx="3">
                    <c:v>0.48124569375298271</c:v>
                  </c:pt>
                  <c:pt idx="4">
                    <c:v>0.80105144428031227</c:v>
                  </c:pt>
                  <c:pt idx="5">
                    <c:v>1.0110289700296788</c:v>
                  </c:pt>
                  <c:pt idx="6">
                    <c:v>0.66107541655440027</c:v>
                  </c:pt>
                  <c:pt idx="7">
                    <c:v>0.28902676562248453</c:v>
                  </c:pt>
                  <c:pt idx="8">
                    <c:v>7.7082904081710174E-2</c:v>
                  </c:pt>
                </c:numCache>
              </c:numRef>
            </c:minus>
          </c:errBars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data'!$D$24:$D$32</c:f>
              <c:numCache>
                <c:formatCode>#,##0.00</c:formatCode>
                <c:ptCount val="9"/>
                <c:pt idx="0">
                  <c:v>0.42347000000000001</c:v>
                </c:pt>
                <c:pt idx="1">
                  <c:v>0.7730800000000001</c:v>
                </c:pt>
                <c:pt idx="2">
                  <c:v>0.89373999999999998</c:v>
                </c:pt>
                <c:pt idx="3">
                  <c:v>3.5272299999999999</c:v>
                </c:pt>
                <c:pt idx="4">
                  <c:v>9.0711300000000001</c:v>
                </c:pt>
                <c:pt idx="5">
                  <c:v>10.19084</c:v>
                </c:pt>
                <c:pt idx="6">
                  <c:v>5.1214099999999991</c:v>
                </c:pt>
                <c:pt idx="7">
                  <c:v>0.26883000000000001</c:v>
                </c:pt>
                <c:pt idx="8">
                  <c:v>7.637999999999999E-2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5009536"/>
        <c:axId val="235011072"/>
      </c:barChart>
      <c:catAx>
        <c:axId val="2350095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5011072"/>
        <c:crosses val="autoZero"/>
        <c:auto val="1"/>
        <c:lblAlgn val="ctr"/>
        <c:lblOffset val="100"/>
        <c:noMultiLvlLbl val="0"/>
      </c:catAx>
      <c:valAx>
        <c:axId val="2350110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500953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larch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data'!$J$13:$J$19</c:f>
              <c:numCache>
                <c:formatCode>#,##0.00</c:formatCode>
                <c:ptCount val="7"/>
                <c:pt idx="0">
                  <c:v>4.9409999999999998</c:v>
                </c:pt>
                <c:pt idx="1">
                  <c:v>112.675</c:v>
                </c:pt>
                <c:pt idx="2">
                  <c:v>370.88599999999997</c:v>
                </c:pt>
                <c:pt idx="3">
                  <c:v>725.28899999999999</c:v>
                </c:pt>
                <c:pt idx="4">
                  <c:v>355.03500000000003</c:v>
                </c:pt>
                <c:pt idx="5">
                  <c:v>94.933999999999997</c:v>
                </c:pt>
                <c:pt idx="6">
                  <c:v>14.096</c:v>
                </c:pt>
              </c:numCache>
            </c:numRef>
          </c:val>
        </c:ser>
        <c:ser>
          <c:idx val="1"/>
          <c:order val="1"/>
          <c:tx>
            <c:strRef>
              <c:f>'Section 15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data'!$M$13:$M$19</c:f>
                <c:numCache>
                  <c:formatCode>General</c:formatCode>
                  <c:ptCount val="7"/>
                  <c:pt idx="0">
                    <c:v>0.55155136937360749</c:v>
                  </c:pt>
                  <c:pt idx="1">
                    <c:v>15.790736186040958</c:v>
                  </c:pt>
                  <c:pt idx="2">
                    <c:v>219.96951744543435</c:v>
                  </c:pt>
                  <c:pt idx="3">
                    <c:v>466.11642086570021</c:v>
                  </c:pt>
                  <c:pt idx="4">
                    <c:v>368.5166360592039</c:v>
                  </c:pt>
                  <c:pt idx="5">
                    <c:v>52.991765870398446</c:v>
                  </c:pt>
                  <c:pt idx="6">
                    <c:v>4.1991534000000001</c:v>
                  </c:pt>
                </c:numCache>
              </c:numRef>
            </c:plus>
            <c:minus>
              <c:numRef>
                <c:f>'Section 15 data'!$M$13:$M$19</c:f>
                <c:numCache>
                  <c:formatCode>General</c:formatCode>
                  <c:ptCount val="7"/>
                  <c:pt idx="0">
                    <c:v>0.55155136937360749</c:v>
                  </c:pt>
                  <c:pt idx="1">
                    <c:v>15.790736186040958</c:v>
                  </c:pt>
                  <c:pt idx="2">
                    <c:v>219.96951744543435</c:v>
                  </c:pt>
                  <c:pt idx="3">
                    <c:v>466.11642086570021</c:v>
                  </c:pt>
                  <c:pt idx="4">
                    <c:v>368.5166360592039</c:v>
                  </c:pt>
                  <c:pt idx="5">
                    <c:v>52.991765870398446</c:v>
                  </c:pt>
                  <c:pt idx="6">
                    <c:v>4.1991534000000001</c:v>
                  </c:pt>
                </c:numCache>
              </c:numRef>
            </c:minus>
          </c:errBars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data'!$K$13:$K$19</c:f>
              <c:numCache>
                <c:formatCode>#,##0.00</c:formatCode>
                <c:ptCount val="7"/>
                <c:pt idx="0">
                  <c:v>1.0048300000000001</c:v>
                </c:pt>
                <c:pt idx="1">
                  <c:v>60.79166</c:v>
                </c:pt>
                <c:pt idx="2">
                  <c:v>2006.4103500000001</c:v>
                </c:pt>
                <c:pt idx="3">
                  <c:v>5662.0071600000001</c:v>
                </c:pt>
                <c:pt idx="4">
                  <c:v>2036.74442</c:v>
                </c:pt>
                <c:pt idx="5">
                  <c:v>115.239</c:v>
                </c:pt>
                <c:pt idx="6">
                  <c:v>4.2389999999999999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5422464"/>
        <c:axId val="235424000"/>
      </c:barChart>
      <c:catAx>
        <c:axId val="2354224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5424000"/>
        <c:crosses val="autoZero"/>
        <c:auto val="1"/>
        <c:lblAlgn val="ctr"/>
        <c:lblOffset val="100"/>
        <c:noMultiLvlLbl val="0"/>
      </c:catAx>
      <c:valAx>
        <c:axId val="2354240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542246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data'!$J$13:$J$19</c:f>
              <c:numCache>
                <c:formatCode>#,##0.00</c:formatCode>
                <c:ptCount val="7"/>
                <c:pt idx="0">
                  <c:v>4.9409999999999998</c:v>
                </c:pt>
                <c:pt idx="1">
                  <c:v>112.675</c:v>
                </c:pt>
                <c:pt idx="2">
                  <c:v>370.88599999999997</c:v>
                </c:pt>
                <c:pt idx="3">
                  <c:v>725.28899999999999</c:v>
                </c:pt>
                <c:pt idx="4">
                  <c:v>355.03500000000003</c:v>
                </c:pt>
                <c:pt idx="5">
                  <c:v>94.933999999999997</c:v>
                </c:pt>
                <c:pt idx="6">
                  <c:v>14.096</c:v>
                </c:pt>
              </c:numCache>
            </c:numRef>
          </c:val>
        </c:ser>
        <c:ser>
          <c:idx val="1"/>
          <c:order val="1"/>
          <c:tx>
            <c:strRef>
              <c:f>'Section 15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data'!$M$13:$M$19</c:f>
                <c:numCache>
                  <c:formatCode>General</c:formatCode>
                  <c:ptCount val="7"/>
                  <c:pt idx="0">
                    <c:v>0.55155136937360749</c:v>
                  </c:pt>
                  <c:pt idx="1">
                    <c:v>15.790736186040958</c:v>
                  </c:pt>
                  <c:pt idx="2">
                    <c:v>219.96951744543435</c:v>
                  </c:pt>
                  <c:pt idx="3">
                    <c:v>466.11642086570021</c:v>
                  </c:pt>
                  <c:pt idx="4">
                    <c:v>368.5166360592039</c:v>
                  </c:pt>
                  <c:pt idx="5">
                    <c:v>52.991765870398446</c:v>
                  </c:pt>
                  <c:pt idx="6">
                    <c:v>4.1991534000000001</c:v>
                  </c:pt>
                </c:numCache>
              </c:numRef>
            </c:plus>
            <c:minus>
              <c:numRef>
                <c:f>'Section 15 data'!$M$13:$M$19</c:f>
                <c:numCache>
                  <c:formatCode>General</c:formatCode>
                  <c:ptCount val="7"/>
                  <c:pt idx="0">
                    <c:v>0.55155136937360749</c:v>
                  </c:pt>
                  <c:pt idx="1">
                    <c:v>15.790736186040958</c:v>
                  </c:pt>
                  <c:pt idx="2">
                    <c:v>219.96951744543435</c:v>
                  </c:pt>
                  <c:pt idx="3">
                    <c:v>466.11642086570021</c:v>
                  </c:pt>
                  <c:pt idx="4">
                    <c:v>368.5166360592039</c:v>
                  </c:pt>
                  <c:pt idx="5">
                    <c:v>52.991765870398446</c:v>
                  </c:pt>
                  <c:pt idx="6">
                    <c:v>4.1991534000000001</c:v>
                  </c:pt>
                </c:numCache>
              </c:numRef>
            </c:minus>
          </c:errBars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data'!$K$13:$K$19</c:f>
              <c:numCache>
                <c:formatCode>#,##0.00</c:formatCode>
                <c:ptCount val="7"/>
                <c:pt idx="0">
                  <c:v>1.0048300000000001</c:v>
                </c:pt>
                <c:pt idx="1">
                  <c:v>60.79166</c:v>
                </c:pt>
                <c:pt idx="2">
                  <c:v>2006.4103500000001</c:v>
                </c:pt>
                <c:pt idx="3">
                  <c:v>5662.0071600000001</c:v>
                </c:pt>
                <c:pt idx="4">
                  <c:v>2036.74442</c:v>
                </c:pt>
                <c:pt idx="5">
                  <c:v>115.239</c:v>
                </c:pt>
                <c:pt idx="6">
                  <c:v>4.2389999999999999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5184512"/>
        <c:axId val="235186048"/>
      </c:barChart>
      <c:catAx>
        <c:axId val="2351845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5186048"/>
        <c:crosses val="autoZero"/>
        <c:auto val="1"/>
        <c:lblAlgn val="ctr"/>
        <c:lblOffset val="100"/>
        <c:noMultiLvlLbl val="0"/>
      </c:catAx>
      <c:valAx>
        <c:axId val="23518604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518451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larch </a:t>
            </a:r>
            <a:r>
              <a:rPr lang="en-US"/>
              <a:t>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data'!$J$24:$J$32</c:f>
              <c:numCache>
                <c:formatCode>#,##0.00</c:formatCode>
                <c:ptCount val="9"/>
                <c:pt idx="0">
                  <c:v>0.59299999999999997</c:v>
                </c:pt>
                <c:pt idx="1">
                  <c:v>28.018000000000001</c:v>
                </c:pt>
                <c:pt idx="2">
                  <c:v>219.74299999999999</c:v>
                </c:pt>
                <c:pt idx="3">
                  <c:v>142.137</c:v>
                </c:pt>
                <c:pt idx="4">
                  <c:v>543.11</c:v>
                </c:pt>
                <c:pt idx="5">
                  <c:v>492.26100000000002</c:v>
                </c:pt>
                <c:pt idx="6">
                  <c:v>242.376</c:v>
                </c:pt>
                <c:pt idx="7">
                  <c:v>6.1529999999999996</c:v>
                </c:pt>
                <c:pt idx="8">
                  <c:v>3.472</c:v>
                </c:pt>
              </c:numCache>
            </c:numRef>
          </c:val>
        </c:ser>
        <c:ser>
          <c:idx val="1"/>
          <c:order val="1"/>
          <c:tx>
            <c:strRef>
              <c:f>'Section 15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data'!$M$24:$M$32</c:f>
                <c:numCache>
                  <c:formatCode>General</c:formatCode>
                  <c:ptCount val="9"/>
                  <c:pt idx="0">
                    <c:v>6.2261000000000004E-2</c:v>
                  </c:pt>
                  <c:pt idx="1">
                    <c:v>9.0154490528300411</c:v>
                  </c:pt>
                  <c:pt idx="2">
                    <c:v>21.368617904676142</c:v>
                  </c:pt>
                  <c:pt idx="3">
                    <c:v>122.22394921389947</c:v>
                  </c:pt>
                  <c:pt idx="4">
                    <c:v>277.90678350091758</c:v>
                  </c:pt>
                  <c:pt idx="5">
                    <c:v>423.81202501913197</c:v>
                  </c:pt>
                  <c:pt idx="6">
                    <c:v>346.63019713441878</c:v>
                  </c:pt>
                  <c:pt idx="7">
                    <c:v>139.38546706570577</c:v>
                  </c:pt>
                  <c:pt idx="8">
                    <c:v>52.403226244722916</c:v>
                  </c:pt>
                </c:numCache>
              </c:numRef>
            </c:plus>
            <c:minus>
              <c:numRef>
                <c:f>'Section 15 data'!$M$24:$M$32</c:f>
                <c:numCache>
                  <c:formatCode>General</c:formatCode>
                  <c:ptCount val="9"/>
                  <c:pt idx="0">
                    <c:v>6.2261000000000004E-2</c:v>
                  </c:pt>
                  <c:pt idx="1">
                    <c:v>9.0154490528300411</c:v>
                  </c:pt>
                  <c:pt idx="2">
                    <c:v>21.368617904676142</c:v>
                  </c:pt>
                  <c:pt idx="3">
                    <c:v>122.22394921389947</c:v>
                  </c:pt>
                  <c:pt idx="4">
                    <c:v>277.90678350091758</c:v>
                  </c:pt>
                  <c:pt idx="5">
                    <c:v>423.81202501913197</c:v>
                  </c:pt>
                  <c:pt idx="6">
                    <c:v>346.63019713441878</c:v>
                  </c:pt>
                  <c:pt idx="7">
                    <c:v>139.38546706570577</c:v>
                  </c:pt>
                  <c:pt idx="8">
                    <c:v>52.403226244722916</c:v>
                  </c:pt>
                </c:numCache>
              </c:numRef>
            </c:minus>
          </c:errBars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data'!$K$24:$K$32</c:f>
              <c:numCache>
                <c:formatCode>#,##0.00</c:formatCode>
                <c:ptCount val="9"/>
                <c:pt idx="0">
                  <c:v>0.115</c:v>
                </c:pt>
                <c:pt idx="1">
                  <c:v>26.494</c:v>
                </c:pt>
                <c:pt idx="2">
                  <c:v>92.682000000000002</c:v>
                </c:pt>
                <c:pt idx="3">
                  <c:v>850.09100000000001</c:v>
                </c:pt>
                <c:pt idx="4">
                  <c:v>3049.6930000000002</c:v>
                </c:pt>
                <c:pt idx="5">
                  <c:v>3915.915</c:v>
                </c:pt>
                <c:pt idx="6">
                  <c:v>2650.4560000000001</c:v>
                </c:pt>
                <c:pt idx="7">
                  <c:v>129.73400000000001</c:v>
                </c:pt>
                <c:pt idx="8">
                  <c:v>62.966999999999999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5310464"/>
        <c:axId val="235349120"/>
      </c:barChart>
      <c:catAx>
        <c:axId val="2353104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5349120"/>
        <c:crosses val="autoZero"/>
        <c:auto val="1"/>
        <c:lblAlgn val="ctr"/>
        <c:lblOffset val="100"/>
        <c:noMultiLvlLbl val="0"/>
      </c:catAx>
      <c:valAx>
        <c:axId val="23534912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531046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data'!$J$24:$J$32</c:f>
              <c:numCache>
                <c:formatCode>#,##0.00</c:formatCode>
                <c:ptCount val="9"/>
                <c:pt idx="0">
                  <c:v>0.59299999999999997</c:v>
                </c:pt>
                <c:pt idx="1">
                  <c:v>28.018000000000001</c:v>
                </c:pt>
                <c:pt idx="2">
                  <c:v>219.74299999999999</c:v>
                </c:pt>
                <c:pt idx="3">
                  <c:v>142.137</c:v>
                </c:pt>
                <c:pt idx="4">
                  <c:v>543.11</c:v>
                </c:pt>
                <c:pt idx="5">
                  <c:v>492.26100000000002</c:v>
                </c:pt>
                <c:pt idx="6">
                  <c:v>242.376</c:v>
                </c:pt>
                <c:pt idx="7">
                  <c:v>6.1529999999999996</c:v>
                </c:pt>
                <c:pt idx="8">
                  <c:v>3.472</c:v>
                </c:pt>
              </c:numCache>
            </c:numRef>
          </c:val>
        </c:ser>
        <c:ser>
          <c:idx val="1"/>
          <c:order val="1"/>
          <c:tx>
            <c:strRef>
              <c:f>'Section 15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data'!$M$24:$M$32</c:f>
                <c:numCache>
                  <c:formatCode>General</c:formatCode>
                  <c:ptCount val="9"/>
                  <c:pt idx="0">
                    <c:v>6.2261000000000004E-2</c:v>
                  </c:pt>
                  <c:pt idx="1">
                    <c:v>9.0154490528300411</c:v>
                  </c:pt>
                  <c:pt idx="2">
                    <c:v>21.368617904676142</c:v>
                  </c:pt>
                  <c:pt idx="3">
                    <c:v>122.22394921389947</c:v>
                  </c:pt>
                  <c:pt idx="4">
                    <c:v>277.90678350091758</c:v>
                  </c:pt>
                  <c:pt idx="5">
                    <c:v>423.81202501913197</c:v>
                  </c:pt>
                  <c:pt idx="6">
                    <c:v>346.63019713441878</c:v>
                  </c:pt>
                  <c:pt idx="7">
                    <c:v>139.38546706570577</c:v>
                  </c:pt>
                  <c:pt idx="8">
                    <c:v>52.403226244722916</c:v>
                  </c:pt>
                </c:numCache>
              </c:numRef>
            </c:plus>
            <c:minus>
              <c:numRef>
                <c:f>'Section 15 data'!$M$24:$M$32</c:f>
                <c:numCache>
                  <c:formatCode>General</c:formatCode>
                  <c:ptCount val="9"/>
                  <c:pt idx="0">
                    <c:v>6.2261000000000004E-2</c:v>
                  </c:pt>
                  <c:pt idx="1">
                    <c:v>9.0154490528300411</c:v>
                  </c:pt>
                  <c:pt idx="2">
                    <c:v>21.368617904676142</c:v>
                  </c:pt>
                  <c:pt idx="3">
                    <c:v>122.22394921389947</c:v>
                  </c:pt>
                  <c:pt idx="4">
                    <c:v>277.90678350091758</c:v>
                  </c:pt>
                  <c:pt idx="5">
                    <c:v>423.81202501913197</c:v>
                  </c:pt>
                  <c:pt idx="6">
                    <c:v>346.63019713441878</c:v>
                  </c:pt>
                  <c:pt idx="7">
                    <c:v>139.38546706570577</c:v>
                  </c:pt>
                  <c:pt idx="8">
                    <c:v>52.403226244722916</c:v>
                  </c:pt>
                </c:numCache>
              </c:numRef>
            </c:minus>
          </c:errBars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data'!$K$24:$K$32</c:f>
              <c:numCache>
                <c:formatCode>#,##0.00</c:formatCode>
                <c:ptCount val="9"/>
                <c:pt idx="0">
                  <c:v>0.115</c:v>
                </c:pt>
                <c:pt idx="1">
                  <c:v>26.494</c:v>
                </c:pt>
                <c:pt idx="2">
                  <c:v>92.682000000000002</c:v>
                </c:pt>
                <c:pt idx="3">
                  <c:v>850.09100000000001</c:v>
                </c:pt>
                <c:pt idx="4">
                  <c:v>3049.6930000000002</c:v>
                </c:pt>
                <c:pt idx="5">
                  <c:v>3915.915</c:v>
                </c:pt>
                <c:pt idx="6">
                  <c:v>2650.4560000000001</c:v>
                </c:pt>
                <c:pt idx="7">
                  <c:v>129.73400000000001</c:v>
                </c:pt>
                <c:pt idx="8">
                  <c:v>62.966999999999999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5490304"/>
        <c:axId val="235492096"/>
      </c:barChart>
      <c:catAx>
        <c:axId val="2354903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5492096"/>
        <c:crosses val="autoZero"/>
        <c:auto val="1"/>
        <c:lblAlgn val="ctr"/>
        <c:lblOffset val="100"/>
        <c:noMultiLvlLbl val="0"/>
      </c:catAx>
      <c:valAx>
        <c:axId val="23549209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549030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larch trees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data'!$Q$13:$Q$19</c:f>
              <c:numCache>
                <c:formatCode>#,##0.00</c:formatCode>
                <c:ptCount val="7"/>
                <c:pt idx="0">
                  <c:v>903.58600000000001</c:v>
                </c:pt>
                <c:pt idx="1">
                  <c:v>4342.1310000000003</c:v>
                </c:pt>
                <c:pt idx="2">
                  <c:v>3244.277</c:v>
                </c:pt>
                <c:pt idx="3">
                  <c:v>1466.317</c:v>
                </c:pt>
                <c:pt idx="4">
                  <c:v>613.95399999999995</c:v>
                </c:pt>
                <c:pt idx="5">
                  <c:v>167.245</c:v>
                </c:pt>
                <c:pt idx="6">
                  <c:v>39.765999999999998</c:v>
                </c:pt>
              </c:numCache>
            </c:numRef>
          </c:val>
        </c:ser>
        <c:ser>
          <c:idx val="1"/>
          <c:order val="1"/>
          <c:tx>
            <c:strRef>
              <c:f>'Section 15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data'!$T$13:$T$19</c:f>
                <c:numCache>
                  <c:formatCode>General</c:formatCode>
                  <c:ptCount val="7"/>
                  <c:pt idx="0">
                    <c:v>95.005669951573921</c:v>
                  </c:pt>
                  <c:pt idx="1">
                    <c:v>582.2663740850046</c:v>
                  </c:pt>
                  <c:pt idx="2">
                    <c:v>774.43253002543395</c:v>
                  </c:pt>
                  <c:pt idx="3">
                    <c:v>714.02434483874833</c:v>
                  </c:pt>
                  <c:pt idx="4">
                    <c:v>283.341664656381</c:v>
                  </c:pt>
                  <c:pt idx="5">
                    <c:v>34.053197781428487</c:v>
                  </c:pt>
                  <c:pt idx="6">
                    <c:v>2.0891754000000002</c:v>
                  </c:pt>
                </c:numCache>
              </c:numRef>
            </c:plus>
            <c:minus>
              <c:numRef>
                <c:f>'Section 15 data'!$T$13:$T$19</c:f>
                <c:numCache>
                  <c:formatCode>General</c:formatCode>
                  <c:ptCount val="7"/>
                  <c:pt idx="0">
                    <c:v>95.005669951573921</c:v>
                  </c:pt>
                  <c:pt idx="1">
                    <c:v>582.2663740850046</c:v>
                  </c:pt>
                  <c:pt idx="2">
                    <c:v>774.43253002543395</c:v>
                  </c:pt>
                  <c:pt idx="3">
                    <c:v>714.02434483874833</c:v>
                  </c:pt>
                  <c:pt idx="4">
                    <c:v>283.341664656381</c:v>
                  </c:pt>
                  <c:pt idx="5">
                    <c:v>34.053197781428487</c:v>
                  </c:pt>
                  <c:pt idx="6">
                    <c:v>2.0891754000000002</c:v>
                  </c:pt>
                </c:numCache>
              </c:numRef>
            </c:minus>
          </c:errBars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data'!$R$13:$R$19</c:f>
              <c:numCache>
                <c:formatCode>#,##0.00</c:formatCode>
                <c:ptCount val="7"/>
                <c:pt idx="0">
                  <c:v>164.47</c:v>
                </c:pt>
                <c:pt idx="1">
                  <c:v>2315.1060000000002</c:v>
                </c:pt>
                <c:pt idx="2">
                  <c:v>7928.8469999999998</c:v>
                </c:pt>
                <c:pt idx="3">
                  <c:v>8717.9639999999999</c:v>
                </c:pt>
                <c:pt idx="4">
                  <c:v>1687.9290000000001</c:v>
                </c:pt>
                <c:pt idx="5">
                  <c:v>75.39</c:v>
                </c:pt>
                <c:pt idx="6">
                  <c:v>2.109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357888"/>
        <c:axId val="236367872"/>
      </c:barChart>
      <c:catAx>
        <c:axId val="23635788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6367872"/>
        <c:crosses val="autoZero"/>
        <c:auto val="1"/>
        <c:lblAlgn val="ctr"/>
        <c:lblOffset val="100"/>
        <c:noMultiLvlLbl val="0"/>
      </c:catAx>
      <c:valAx>
        <c:axId val="23636787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635788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data'!$Q$13:$Q$19</c:f>
              <c:numCache>
                <c:formatCode>#,##0.00</c:formatCode>
                <c:ptCount val="7"/>
                <c:pt idx="0">
                  <c:v>903.58600000000001</c:v>
                </c:pt>
                <c:pt idx="1">
                  <c:v>4342.1310000000003</c:v>
                </c:pt>
                <c:pt idx="2">
                  <c:v>3244.277</c:v>
                </c:pt>
                <c:pt idx="3">
                  <c:v>1466.317</c:v>
                </c:pt>
                <c:pt idx="4">
                  <c:v>613.95399999999995</c:v>
                </c:pt>
                <c:pt idx="5">
                  <c:v>167.245</c:v>
                </c:pt>
                <c:pt idx="6">
                  <c:v>39.765999999999998</c:v>
                </c:pt>
              </c:numCache>
            </c:numRef>
          </c:val>
        </c:ser>
        <c:ser>
          <c:idx val="1"/>
          <c:order val="1"/>
          <c:tx>
            <c:strRef>
              <c:f>'Section 15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data'!$T$13:$T$19</c:f>
                <c:numCache>
                  <c:formatCode>General</c:formatCode>
                  <c:ptCount val="7"/>
                  <c:pt idx="0">
                    <c:v>95.005669951573921</c:v>
                  </c:pt>
                  <c:pt idx="1">
                    <c:v>582.2663740850046</c:v>
                  </c:pt>
                  <c:pt idx="2">
                    <c:v>774.43253002543395</c:v>
                  </c:pt>
                  <c:pt idx="3">
                    <c:v>714.02434483874833</c:v>
                  </c:pt>
                  <c:pt idx="4">
                    <c:v>283.341664656381</c:v>
                  </c:pt>
                  <c:pt idx="5">
                    <c:v>34.053197781428487</c:v>
                  </c:pt>
                  <c:pt idx="6">
                    <c:v>2.0891754000000002</c:v>
                  </c:pt>
                </c:numCache>
              </c:numRef>
            </c:plus>
            <c:minus>
              <c:numRef>
                <c:f>'Section 15 data'!$T$13:$T$19</c:f>
                <c:numCache>
                  <c:formatCode>General</c:formatCode>
                  <c:ptCount val="7"/>
                  <c:pt idx="0">
                    <c:v>95.005669951573921</c:v>
                  </c:pt>
                  <c:pt idx="1">
                    <c:v>582.2663740850046</c:v>
                  </c:pt>
                  <c:pt idx="2">
                    <c:v>774.43253002543395</c:v>
                  </c:pt>
                  <c:pt idx="3">
                    <c:v>714.02434483874833</c:v>
                  </c:pt>
                  <c:pt idx="4">
                    <c:v>283.341664656381</c:v>
                  </c:pt>
                  <c:pt idx="5">
                    <c:v>34.053197781428487</c:v>
                  </c:pt>
                  <c:pt idx="6">
                    <c:v>2.0891754000000002</c:v>
                  </c:pt>
                </c:numCache>
              </c:numRef>
            </c:minus>
          </c:errBars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data'!$R$13:$R$19</c:f>
              <c:numCache>
                <c:formatCode>#,##0.00</c:formatCode>
                <c:ptCount val="7"/>
                <c:pt idx="0">
                  <c:v>164.47</c:v>
                </c:pt>
                <c:pt idx="1">
                  <c:v>2315.1060000000002</c:v>
                </c:pt>
                <c:pt idx="2">
                  <c:v>7928.8469999999998</c:v>
                </c:pt>
                <c:pt idx="3">
                  <c:v>8717.9639999999999</c:v>
                </c:pt>
                <c:pt idx="4">
                  <c:v>1687.9290000000001</c:v>
                </c:pt>
                <c:pt idx="5">
                  <c:v>75.39</c:v>
                </c:pt>
                <c:pt idx="6">
                  <c:v>2.109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410752"/>
        <c:axId val="236412288"/>
      </c:barChart>
      <c:catAx>
        <c:axId val="23641075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6412288"/>
        <c:crosses val="autoZero"/>
        <c:auto val="1"/>
        <c:lblAlgn val="ctr"/>
        <c:lblOffset val="100"/>
        <c:noMultiLvlLbl val="0"/>
      </c:catAx>
      <c:valAx>
        <c:axId val="23641228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641075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larch trees </a:t>
            </a:r>
            <a:r>
              <a:rPr lang="en-US"/>
              <a:t>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data'!$Q$24:$Q$32</c:f>
              <c:numCache>
                <c:formatCode>#,##0.00</c:formatCode>
                <c:ptCount val="9"/>
                <c:pt idx="0">
                  <c:v>279.74299999999999</c:v>
                </c:pt>
                <c:pt idx="1">
                  <c:v>2434.0619999999999</c:v>
                </c:pt>
                <c:pt idx="2">
                  <c:v>4965.6769999999997</c:v>
                </c:pt>
                <c:pt idx="3">
                  <c:v>1038.454</c:v>
                </c:pt>
                <c:pt idx="4">
                  <c:v>1430.096</c:v>
                </c:pt>
                <c:pt idx="5">
                  <c:v>544.31200000000001</c:v>
                </c:pt>
                <c:pt idx="6">
                  <c:v>145.489</c:v>
                </c:pt>
                <c:pt idx="7">
                  <c:v>1.7090000000000001</c:v>
                </c:pt>
                <c:pt idx="8">
                  <c:v>0.35799999999999998</c:v>
                </c:pt>
              </c:numCache>
            </c:numRef>
          </c:val>
        </c:ser>
        <c:ser>
          <c:idx val="1"/>
          <c:order val="1"/>
          <c:tx>
            <c:strRef>
              <c:f>'Section 15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data'!$T$24:$T$32</c:f>
                <c:numCache>
                  <c:formatCode>General</c:formatCode>
                  <c:ptCount val="9"/>
                  <c:pt idx="0">
                    <c:v>237.40804320000004</c:v>
                  </c:pt>
                  <c:pt idx="1">
                    <c:v>508.91090429293735</c:v>
                  </c:pt>
                  <c:pt idx="2">
                    <c:v>294.25798266097894</c:v>
                  </c:pt>
                  <c:pt idx="3">
                    <c:v>623.58275270892329</c:v>
                  </c:pt>
                  <c:pt idx="4">
                    <c:v>688.57247775609608</c:v>
                  </c:pt>
                  <c:pt idx="5">
                    <c:v>406.09220548509614</c:v>
                  </c:pt>
                  <c:pt idx="6">
                    <c:v>214.83994647304894</c:v>
                  </c:pt>
                  <c:pt idx="7">
                    <c:v>71.086910027471987</c:v>
                  </c:pt>
                  <c:pt idx="8">
                    <c:v>7.7750544812561566</c:v>
                  </c:pt>
                </c:numCache>
              </c:numRef>
            </c:plus>
            <c:minus>
              <c:numRef>
                <c:f>'Section 15 data'!$T$24:$T$32</c:f>
                <c:numCache>
                  <c:formatCode>General</c:formatCode>
                  <c:ptCount val="9"/>
                  <c:pt idx="0">
                    <c:v>237.40804320000004</c:v>
                  </c:pt>
                  <c:pt idx="1">
                    <c:v>508.91090429293735</c:v>
                  </c:pt>
                  <c:pt idx="2">
                    <c:v>294.25798266097894</c:v>
                  </c:pt>
                  <c:pt idx="3">
                    <c:v>623.58275270892329</c:v>
                  </c:pt>
                  <c:pt idx="4">
                    <c:v>688.57247775609608</c:v>
                  </c:pt>
                  <c:pt idx="5">
                    <c:v>406.09220548509614</c:v>
                  </c:pt>
                  <c:pt idx="6">
                    <c:v>214.83994647304894</c:v>
                  </c:pt>
                  <c:pt idx="7">
                    <c:v>71.086910027471987</c:v>
                  </c:pt>
                  <c:pt idx="8">
                    <c:v>7.7750544812561566</c:v>
                  </c:pt>
                </c:numCache>
              </c:numRef>
            </c:minus>
          </c:errBars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data'!$R$24:$R$32</c:f>
              <c:numCache>
                <c:formatCode>#,##0.00</c:formatCode>
                <c:ptCount val="9"/>
                <c:pt idx="0">
                  <c:v>330.74400000000003</c:v>
                </c:pt>
                <c:pt idx="1">
                  <c:v>1758.7819999999999</c:v>
                </c:pt>
                <c:pt idx="2">
                  <c:v>1430.03</c:v>
                </c:pt>
                <c:pt idx="3">
                  <c:v>4193.8519999999999</c:v>
                </c:pt>
                <c:pt idx="4">
                  <c:v>6795.375</c:v>
                </c:pt>
                <c:pt idx="5">
                  <c:v>3557.6509999999998</c:v>
                </c:pt>
                <c:pt idx="6">
                  <c:v>1285.8879999999999</c:v>
                </c:pt>
                <c:pt idx="7">
                  <c:v>32.201000000000001</c:v>
                </c:pt>
                <c:pt idx="8">
                  <c:v>8.8919999999999995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106880"/>
        <c:axId val="236108416"/>
      </c:barChart>
      <c:catAx>
        <c:axId val="23610688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6108416"/>
        <c:crosses val="autoZero"/>
        <c:auto val="1"/>
        <c:lblAlgn val="ctr"/>
        <c:lblOffset val="100"/>
        <c:noMultiLvlLbl val="0"/>
      </c:catAx>
      <c:valAx>
        <c:axId val="23610841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610688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Stocked area by principal tree species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2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2 data'!$H$8:$H$26</c:f>
              <c:numCache>
                <c:formatCode>#,##0.0</c:formatCode>
                <c:ptCount val="19"/>
                <c:pt idx="0">
                  <c:v>80.267139999999998</c:v>
                </c:pt>
                <c:pt idx="1">
                  <c:v>61.454690000000006</c:v>
                </c:pt>
                <c:pt idx="2">
                  <c:v>40.500339999999994</c:v>
                </c:pt>
                <c:pt idx="3">
                  <c:v>26.790880000000001</c:v>
                </c:pt>
                <c:pt idx="4">
                  <c:v>40.242220000000003</c:v>
                </c:pt>
                <c:pt idx="5">
                  <c:v>24.434480000000001</c:v>
                </c:pt>
                <c:pt idx="6">
                  <c:v>7.6952600000000011</c:v>
                </c:pt>
                <c:pt idx="7">
                  <c:v>23.419899999999998</c:v>
                </c:pt>
                <c:pt idx="8">
                  <c:v>166.40674000000001</c:v>
                </c:pt>
                <c:pt idx="9">
                  <c:v>70.313819999999993</c:v>
                </c:pt>
                <c:pt idx="10">
                  <c:v>75.560929999999999</c:v>
                </c:pt>
                <c:pt idx="11">
                  <c:v>120.56268</c:v>
                </c:pt>
                <c:pt idx="12">
                  <c:v>95.461369999999988</c:v>
                </c:pt>
                <c:pt idx="13">
                  <c:v>30.104410000000005</c:v>
                </c:pt>
                <c:pt idx="14">
                  <c:v>62.777680000000004</c:v>
                </c:pt>
                <c:pt idx="15">
                  <c:v>55.825159999999997</c:v>
                </c:pt>
                <c:pt idx="16">
                  <c:v>30.572570000000006</c:v>
                </c:pt>
                <c:pt idx="17">
                  <c:v>40.307030000000005</c:v>
                </c:pt>
                <c:pt idx="18">
                  <c:v>143.68333999999999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936384"/>
        <c:axId val="129934464"/>
      </c:barChart>
      <c:valAx>
        <c:axId val="129934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29936384"/>
        <c:crosses val="max"/>
        <c:crossBetween val="between"/>
      </c:valAx>
      <c:catAx>
        <c:axId val="129936384"/>
        <c:scaling>
          <c:orientation val="maxMin"/>
        </c:scaling>
        <c:delete val="0"/>
        <c:axPos val="l"/>
        <c:majorTickMark val="out"/>
        <c:minorTickMark val="none"/>
        <c:tickLblPos val="nextTo"/>
        <c:crossAx val="12993446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data'!$Q$24:$Q$32</c:f>
              <c:numCache>
                <c:formatCode>#,##0.00</c:formatCode>
                <c:ptCount val="9"/>
                <c:pt idx="0">
                  <c:v>279.74299999999999</c:v>
                </c:pt>
                <c:pt idx="1">
                  <c:v>2434.0619999999999</c:v>
                </c:pt>
                <c:pt idx="2">
                  <c:v>4965.6769999999997</c:v>
                </c:pt>
                <c:pt idx="3">
                  <c:v>1038.454</c:v>
                </c:pt>
                <c:pt idx="4">
                  <c:v>1430.096</c:v>
                </c:pt>
                <c:pt idx="5">
                  <c:v>544.31200000000001</c:v>
                </c:pt>
                <c:pt idx="6">
                  <c:v>145.489</c:v>
                </c:pt>
                <c:pt idx="7">
                  <c:v>1.7090000000000001</c:v>
                </c:pt>
                <c:pt idx="8">
                  <c:v>0.35799999999999998</c:v>
                </c:pt>
              </c:numCache>
            </c:numRef>
          </c:val>
        </c:ser>
        <c:ser>
          <c:idx val="1"/>
          <c:order val="1"/>
          <c:tx>
            <c:strRef>
              <c:f>'Section 15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data'!$T$24:$T$32</c:f>
                <c:numCache>
                  <c:formatCode>General</c:formatCode>
                  <c:ptCount val="9"/>
                  <c:pt idx="0">
                    <c:v>237.40804320000004</c:v>
                  </c:pt>
                  <c:pt idx="1">
                    <c:v>508.91090429293735</c:v>
                  </c:pt>
                  <c:pt idx="2">
                    <c:v>294.25798266097894</c:v>
                  </c:pt>
                  <c:pt idx="3">
                    <c:v>623.58275270892329</c:v>
                  </c:pt>
                  <c:pt idx="4">
                    <c:v>688.57247775609608</c:v>
                  </c:pt>
                  <c:pt idx="5">
                    <c:v>406.09220548509614</c:v>
                  </c:pt>
                  <c:pt idx="6">
                    <c:v>214.83994647304894</c:v>
                  </c:pt>
                  <c:pt idx="7">
                    <c:v>71.086910027471987</c:v>
                  </c:pt>
                  <c:pt idx="8">
                    <c:v>7.7750544812561566</c:v>
                  </c:pt>
                </c:numCache>
              </c:numRef>
            </c:plus>
            <c:minus>
              <c:numRef>
                <c:f>'Section 15 data'!$T$24:$T$32</c:f>
                <c:numCache>
                  <c:formatCode>General</c:formatCode>
                  <c:ptCount val="9"/>
                  <c:pt idx="0">
                    <c:v>237.40804320000004</c:v>
                  </c:pt>
                  <c:pt idx="1">
                    <c:v>508.91090429293735</c:v>
                  </c:pt>
                  <c:pt idx="2">
                    <c:v>294.25798266097894</c:v>
                  </c:pt>
                  <c:pt idx="3">
                    <c:v>623.58275270892329</c:v>
                  </c:pt>
                  <c:pt idx="4">
                    <c:v>688.57247775609608</c:v>
                  </c:pt>
                  <c:pt idx="5">
                    <c:v>406.09220548509614</c:v>
                  </c:pt>
                  <c:pt idx="6">
                    <c:v>214.83994647304894</c:v>
                  </c:pt>
                  <c:pt idx="7">
                    <c:v>71.086910027471987</c:v>
                  </c:pt>
                  <c:pt idx="8">
                    <c:v>7.7750544812561566</c:v>
                  </c:pt>
                </c:numCache>
              </c:numRef>
            </c:minus>
          </c:errBars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data'!$R$24:$R$32</c:f>
              <c:numCache>
                <c:formatCode>#,##0.00</c:formatCode>
                <c:ptCount val="9"/>
                <c:pt idx="0">
                  <c:v>330.74400000000003</c:v>
                </c:pt>
                <c:pt idx="1">
                  <c:v>1758.7819999999999</c:v>
                </c:pt>
                <c:pt idx="2">
                  <c:v>1430.03</c:v>
                </c:pt>
                <c:pt idx="3">
                  <c:v>4193.8519999999999</c:v>
                </c:pt>
                <c:pt idx="4">
                  <c:v>6795.375</c:v>
                </c:pt>
                <c:pt idx="5">
                  <c:v>3557.6509999999998</c:v>
                </c:pt>
                <c:pt idx="6">
                  <c:v>1285.8879999999999</c:v>
                </c:pt>
                <c:pt idx="7">
                  <c:v>32.201000000000001</c:v>
                </c:pt>
                <c:pt idx="8">
                  <c:v>8.8919999999999995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188416"/>
        <c:axId val="236189952"/>
      </c:barChart>
      <c:catAx>
        <c:axId val="2361884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36189952"/>
        <c:crosses val="autoZero"/>
        <c:auto val="1"/>
        <c:lblAlgn val="ctr"/>
        <c:lblOffset val="100"/>
        <c:noMultiLvlLbl val="0"/>
      </c:catAx>
      <c:valAx>
        <c:axId val="23618995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3618841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Larch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data'!$B$37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data'!$G$37,'Section 15 data'!$N$37,'Section 15 data'!$U$37)</c:f>
              <c:numCache>
                <c:formatCode>#,##0.0000</c:formatCode>
                <c:ptCount val="3"/>
                <c:pt idx="0">
                  <c:v>40.246110000000002</c:v>
                </c:pt>
                <c:pt idx="1">
                  <c:v>12456.003000000001</c:v>
                </c:pt>
                <c:pt idx="2">
                  <c:v>31731.709000000003</c:v>
                </c:pt>
              </c:numCache>
            </c:numRef>
          </c:val>
        </c:ser>
        <c:ser>
          <c:idx val="1"/>
          <c:order val="1"/>
          <c:tx>
            <c:strRef>
              <c:f>'Section 15 data'!$B$38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data'!$G$38,'Section 15 data'!$N$38,'Section 15 data'!$U$38)</c:f>
              <c:numCache>
                <c:formatCode>#,##0.0000</c:formatCode>
                <c:ptCount val="3"/>
                <c:pt idx="0">
                  <c:v>264.80389000000002</c:v>
                </c:pt>
                <c:pt idx="1">
                  <c:v>77539.513000000006</c:v>
                </c:pt>
                <c:pt idx="2">
                  <c:v>273473.35800000001</c:v>
                </c:pt>
              </c:numCache>
            </c:numRef>
          </c:val>
        </c:ser>
        <c:ser>
          <c:idx val="2"/>
          <c:order val="2"/>
          <c:tx>
            <c:strRef>
              <c:f>'Section 15 data'!$B$39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data'!$G$39,'Section 15 data'!$N$39,'Section 15 data'!$U$39)</c:f>
              <c:numCache>
                <c:formatCode>#,##0.0000</c:formatCode>
                <c:ptCount val="3"/>
                <c:pt idx="0">
                  <c:v>892.08</c:v>
                </c:pt>
                <c:pt idx="1">
                  <c:v>177942.09700000001</c:v>
                </c:pt>
                <c:pt idx="2">
                  <c:v>1041478.706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016000"/>
        <c:axId val="236017536"/>
      </c:barChart>
      <c:catAx>
        <c:axId val="236016000"/>
        <c:scaling>
          <c:orientation val="maxMin"/>
        </c:scaling>
        <c:delete val="0"/>
        <c:axPos val="l"/>
        <c:majorTickMark val="out"/>
        <c:minorTickMark val="none"/>
        <c:tickLblPos val="nextTo"/>
        <c:crossAx val="236017536"/>
        <c:crosses val="autoZero"/>
        <c:auto val="1"/>
        <c:lblAlgn val="ctr"/>
        <c:lblOffset val="100"/>
        <c:noMultiLvlLbl val="0"/>
      </c:catAx>
      <c:valAx>
        <c:axId val="2360175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01600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data'!$B$37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data'!$G$37,'Section 15 data'!$N$37,'Section 15 data'!$U$37)</c:f>
              <c:numCache>
                <c:formatCode>#,##0.0000</c:formatCode>
                <c:ptCount val="3"/>
                <c:pt idx="0">
                  <c:v>40.246110000000002</c:v>
                </c:pt>
                <c:pt idx="1">
                  <c:v>12456.003000000001</c:v>
                </c:pt>
                <c:pt idx="2">
                  <c:v>31731.709000000003</c:v>
                </c:pt>
              </c:numCache>
            </c:numRef>
          </c:val>
        </c:ser>
        <c:ser>
          <c:idx val="1"/>
          <c:order val="1"/>
          <c:tx>
            <c:strRef>
              <c:f>'Section 15 data'!$B$38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data'!$G$38,'Section 15 data'!$N$38,'Section 15 data'!$U$38)</c:f>
              <c:numCache>
                <c:formatCode>#,##0.0000</c:formatCode>
                <c:ptCount val="3"/>
                <c:pt idx="0">
                  <c:v>264.80389000000002</c:v>
                </c:pt>
                <c:pt idx="1">
                  <c:v>77539.513000000006</c:v>
                </c:pt>
                <c:pt idx="2">
                  <c:v>273473.35800000001</c:v>
                </c:pt>
              </c:numCache>
            </c:numRef>
          </c:val>
        </c:ser>
        <c:ser>
          <c:idx val="2"/>
          <c:order val="2"/>
          <c:tx>
            <c:strRef>
              <c:f>'Section 15 data'!$B$39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data'!$G$39,'Section 15 data'!$N$39,'Section 15 data'!$U$39)</c:f>
              <c:numCache>
                <c:formatCode>#,##0.0000</c:formatCode>
                <c:ptCount val="3"/>
                <c:pt idx="0">
                  <c:v>892.08</c:v>
                </c:pt>
                <c:pt idx="1">
                  <c:v>177942.09700000001</c:v>
                </c:pt>
                <c:pt idx="2">
                  <c:v>1041478.706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052480"/>
        <c:axId val="236054016"/>
      </c:barChart>
      <c:catAx>
        <c:axId val="236052480"/>
        <c:scaling>
          <c:orientation val="maxMin"/>
        </c:scaling>
        <c:delete val="0"/>
        <c:axPos val="l"/>
        <c:majorTickMark val="out"/>
        <c:minorTickMark val="none"/>
        <c:tickLblPos val="nextTo"/>
        <c:crossAx val="236054016"/>
        <c:crosses val="autoZero"/>
        <c:auto val="1"/>
        <c:lblAlgn val="ctr"/>
        <c:lblOffset val="100"/>
        <c:noMultiLvlLbl val="0"/>
      </c:catAx>
      <c:valAx>
        <c:axId val="23605401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05248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Larch as a proportion of woodland (based on stocked area)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country'!$C$80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country'!$C$81:$C$95</c:f>
              <c:numCache>
                <c:formatCode>#,##0.00</c:formatCode>
                <c:ptCount val="15"/>
                <c:pt idx="0">
                  <c:v>40.242220000000003</c:v>
                </c:pt>
                <c:pt idx="1">
                  <c:v>5.1829499999999999</c:v>
                </c:pt>
                <c:pt idx="2">
                  <c:v>3.2607299999999997</c:v>
                </c:pt>
                <c:pt idx="3">
                  <c:v>1.93594</c:v>
                </c:pt>
                <c:pt idx="4">
                  <c:v>1.5435300000000001</c:v>
                </c:pt>
                <c:pt idx="5">
                  <c:v>0.80657000000000001</c:v>
                </c:pt>
                <c:pt idx="6">
                  <c:v>0.91835999999999995</c:v>
                </c:pt>
                <c:pt idx="7">
                  <c:v>1.4540599999999999</c:v>
                </c:pt>
                <c:pt idx="8">
                  <c:v>0.72938999999999998</c:v>
                </c:pt>
                <c:pt idx="9">
                  <c:v>4.1328699999999996</c:v>
                </c:pt>
                <c:pt idx="10">
                  <c:v>1.8539099999999999</c:v>
                </c:pt>
                <c:pt idx="11">
                  <c:v>2.5845900000000004</c:v>
                </c:pt>
                <c:pt idx="12">
                  <c:v>5.2834500000000002</c:v>
                </c:pt>
                <c:pt idx="13">
                  <c:v>2.7224300000000001</c:v>
                </c:pt>
                <c:pt idx="14">
                  <c:v>7.8334399999999995</c:v>
                </c:pt>
              </c:numCache>
            </c:numRef>
          </c:val>
        </c:ser>
        <c:ser>
          <c:idx val="1"/>
          <c:order val="1"/>
          <c:tx>
            <c:strRef>
              <c:f>'Section 15 data country'!$D$80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country'!$D$81:$D$95</c:f>
              <c:numCache>
                <c:formatCode>#,##0.00</c:formatCode>
                <c:ptCount val="15"/>
                <c:pt idx="0">
                  <c:v>264.82466999999997</c:v>
                </c:pt>
                <c:pt idx="1">
                  <c:v>26.092480000000002</c:v>
                </c:pt>
                <c:pt idx="2">
                  <c:v>21.539290000000005</c:v>
                </c:pt>
                <c:pt idx="3">
                  <c:v>31.394210000000005</c:v>
                </c:pt>
                <c:pt idx="4">
                  <c:v>10.56324</c:v>
                </c:pt>
                <c:pt idx="5">
                  <c:v>1.8416199999999996</c:v>
                </c:pt>
                <c:pt idx="6">
                  <c:v>2.2010400000000003</c:v>
                </c:pt>
                <c:pt idx="7">
                  <c:v>8.7904400000000003</c:v>
                </c:pt>
                <c:pt idx="8">
                  <c:v>7.3774499999999996</c:v>
                </c:pt>
                <c:pt idx="9">
                  <c:v>57.216140000000003</c:v>
                </c:pt>
                <c:pt idx="10">
                  <c:v>18.942999999999998</c:v>
                </c:pt>
                <c:pt idx="11">
                  <c:v>12.561449999999999</c:v>
                </c:pt>
                <c:pt idx="12">
                  <c:v>15.34051</c:v>
                </c:pt>
                <c:pt idx="13">
                  <c:v>27.35651</c:v>
                </c:pt>
                <c:pt idx="14">
                  <c:v>23.607289999999999</c:v>
                </c:pt>
              </c:numCache>
            </c:numRef>
          </c:val>
        </c:ser>
        <c:ser>
          <c:idx val="2"/>
          <c:order val="2"/>
          <c:tx>
            <c:strRef>
              <c:f>'Section 15 data country'!$E$80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country'!$E$81:$E$95</c:f>
              <c:numCache>
                <c:formatCode>#,##0.00</c:formatCode>
                <c:ptCount val="15"/>
                <c:pt idx="0">
                  <c:v>892.49155999999994</c:v>
                </c:pt>
                <c:pt idx="1">
                  <c:v>44.848480000000002</c:v>
                </c:pt>
                <c:pt idx="2">
                  <c:v>81.728650000000002</c:v>
                </c:pt>
                <c:pt idx="3">
                  <c:v>90.858959999999996</c:v>
                </c:pt>
                <c:pt idx="4">
                  <c:v>39.05968</c:v>
                </c:pt>
                <c:pt idx="5">
                  <c:v>24.24953</c:v>
                </c:pt>
                <c:pt idx="6">
                  <c:v>30.066469999999999</c:v>
                </c:pt>
                <c:pt idx="7">
                  <c:v>86.336109999999991</c:v>
                </c:pt>
                <c:pt idx="8">
                  <c:v>38.75761</c:v>
                </c:pt>
                <c:pt idx="9">
                  <c:v>38.881959999999999</c:v>
                </c:pt>
                <c:pt idx="10">
                  <c:v>93.393150000000006</c:v>
                </c:pt>
                <c:pt idx="11">
                  <c:v>73.585939999999994</c:v>
                </c:pt>
                <c:pt idx="12">
                  <c:v>80.404610000000005</c:v>
                </c:pt>
                <c:pt idx="13">
                  <c:v>100.96449</c:v>
                </c:pt>
                <c:pt idx="14">
                  <c:v>69.355919999999998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822080"/>
        <c:axId val="235827968"/>
      </c:barChart>
      <c:catAx>
        <c:axId val="235822080"/>
        <c:scaling>
          <c:orientation val="maxMin"/>
        </c:scaling>
        <c:delete val="0"/>
        <c:axPos val="l"/>
        <c:majorTickMark val="out"/>
        <c:minorTickMark val="none"/>
        <c:tickLblPos val="nextTo"/>
        <c:crossAx val="235827968"/>
        <c:crosses val="autoZero"/>
        <c:auto val="1"/>
        <c:lblAlgn val="ctr"/>
        <c:lblOffset val="100"/>
        <c:noMultiLvlLbl val="0"/>
      </c:catAx>
      <c:valAx>
        <c:axId val="2358279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582208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country'!$C$80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country'!$C$81:$C$95</c:f>
              <c:numCache>
                <c:formatCode>#,##0.00</c:formatCode>
                <c:ptCount val="15"/>
                <c:pt idx="0">
                  <c:v>40.242220000000003</c:v>
                </c:pt>
                <c:pt idx="1">
                  <c:v>5.1829499999999999</c:v>
                </c:pt>
                <c:pt idx="2">
                  <c:v>3.2607299999999997</c:v>
                </c:pt>
                <c:pt idx="3">
                  <c:v>1.93594</c:v>
                </c:pt>
                <c:pt idx="4">
                  <c:v>1.5435300000000001</c:v>
                </c:pt>
                <c:pt idx="5">
                  <c:v>0.80657000000000001</c:v>
                </c:pt>
                <c:pt idx="6">
                  <c:v>0.91835999999999995</c:v>
                </c:pt>
                <c:pt idx="7">
                  <c:v>1.4540599999999999</c:v>
                </c:pt>
                <c:pt idx="8">
                  <c:v>0.72938999999999998</c:v>
                </c:pt>
                <c:pt idx="9">
                  <c:v>4.1328699999999996</c:v>
                </c:pt>
                <c:pt idx="10">
                  <c:v>1.8539099999999999</c:v>
                </c:pt>
                <c:pt idx="11">
                  <c:v>2.5845900000000004</c:v>
                </c:pt>
                <c:pt idx="12">
                  <c:v>5.2834500000000002</c:v>
                </c:pt>
                <c:pt idx="13">
                  <c:v>2.7224300000000001</c:v>
                </c:pt>
                <c:pt idx="14">
                  <c:v>7.8334399999999995</c:v>
                </c:pt>
              </c:numCache>
            </c:numRef>
          </c:val>
        </c:ser>
        <c:ser>
          <c:idx val="1"/>
          <c:order val="1"/>
          <c:tx>
            <c:strRef>
              <c:f>'Section 15 data country'!$D$80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country'!$D$81:$D$95</c:f>
              <c:numCache>
                <c:formatCode>#,##0.00</c:formatCode>
                <c:ptCount val="15"/>
                <c:pt idx="0">
                  <c:v>264.82466999999997</c:v>
                </c:pt>
                <c:pt idx="1">
                  <c:v>26.092480000000002</c:v>
                </c:pt>
                <c:pt idx="2">
                  <c:v>21.539290000000005</c:v>
                </c:pt>
                <c:pt idx="3">
                  <c:v>31.394210000000005</c:v>
                </c:pt>
                <c:pt idx="4">
                  <c:v>10.56324</c:v>
                </c:pt>
                <c:pt idx="5">
                  <c:v>1.8416199999999996</c:v>
                </c:pt>
                <c:pt idx="6">
                  <c:v>2.2010400000000003</c:v>
                </c:pt>
                <c:pt idx="7">
                  <c:v>8.7904400000000003</c:v>
                </c:pt>
                <c:pt idx="8">
                  <c:v>7.3774499999999996</c:v>
                </c:pt>
                <c:pt idx="9">
                  <c:v>57.216140000000003</c:v>
                </c:pt>
                <c:pt idx="10">
                  <c:v>18.942999999999998</c:v>
                </c:pt>
                <c:pt idx="11">
                  <c:v>12.561449999999999</c:v>
                </c:pt>
                <c:pt idx="12">
                  <c:v>15.34051</c:v>
                </c:pt>
                <c:pt idx="13">
                  <c:v>27.35651</c:v>
                </c:pt>
                <c:pt idx="14">
                  <c:v>23.607289999999999</c:v>
                </c:pt>
              </c:numCache>
            </c:numRef>
          </c:val>
        </c:ser>
        <c:ser>
          <c:idx val="2"/>
          <c:order val="2"/>
          <c:tx>
            <c:strRef>
              <c:f>'Section 15 data country'!$E$80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country'!$B$81:$B$95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country'!$E$81:$E$95</c:f>
              <c:numCache>
                <c:formatCode>#,##0.00</c:formatCode>
                <c:ptCount val="15"/>
                <c:pt idx="0">
                  <c:v>892.49155999999994</c:v>
                </c:pt>
                <c:pt idx="1">
                  <c:v>44.848480000000002</c:v>
                </c:pt>
                <c:pt idx="2">
                  <c:v>81.728650000000002</c:v>
                </c:pt>
                <c:pt idx="3">
                  <c:v>90.858959999999996</c:v>
                </c:pt>
                <c:pt idx="4">
                  <c:v>39.05968</c:v>
                </c:pt>
                <c:pt idx="5">
                  <c:v>24.24953</c:v>
                </c:pt>
                <c:pt idx="6">
                  <c:v>30.066469999999999</c:v>
                </c:pt>
                <c:pt idx="7">
                  <c:v>86.336109999999991</c:v>
                </c:pt>
                <c:pt idx="8">
                  <c:v>38.75761</c:v>
                </c:pt>
                <c:pt idx="9">
                  <c:v>38.881959999999999</c:v>
                </c:pt>
                <c:pt idx="10">
                  <c:v>93.393150000000006</c:v>
                </c:pt>
                <c:pt idx="11">
                  <c:v>73.585939999999994</c:v>
                </c:pt>
                <c:pt idx="12">
                  <c:v>80.404610000000005</c:v>
                </c:pt>
                <c:pt idx="13">
                  <c:v>100.96449</c:v>
                </c:pt>
                <c:pt idx="14">
                  <c:v>69.355919999999998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874944"/>
        <c:axId val="235889024"/>
      </c:barChart>
      <c:catAx>
        <c:axId val="235874944"/>
        <c:scaling>
          <c:orientation val="maxMin"/>
        </c:scaling>
        <c:delete val="0"/>
        <c:axPos val="l"/>
        <c:majorTickMark val="out"/>
        <c:minorTickMark val="none"/>
        <c:tickLblPos val="nextTo"/>
        <c:crossAx val="235889024"/>
        <c:crosses val="autoZero"/>
        <c:auto val="1"/>
        <c:lblAlgn val="ctr"/>
        <c:lblOffset val="100"/>
        <c:noMultiLvlLbl val="0"/>
      </c:catAx>
      <c:valAx>
        <c:axId val="2358890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587494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Larch as a proportion of woodland (based on standing volume)</a:t>
            </a:r>
          </a:p>
        </c:rich>
      </c:tx>
      <c:layout/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country'!$J$80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country'!$J$81:$J$95</c:f>
              <c:numCache>
                <c:formatCode>#,##0.00</c:formatCode>
                <c:ptCount val="15"/>
                <c:pt idx="0">
                  <c:v>12456.003000000001</c:v>
                </c:pt>
                <c:pt idx="1">
                  <c:v>1580.9769999999999</c:v>
                </c:pt>
                <c:pt idx="2">
                  <c:v>1072.9459999999999</c:v>
                </c:pt>
                <c:pt idx="3">
                  <c:v>481.00100000000003</c:v>
                </c:pt>
                <c:pt idx="4">
                  <c:v>487.82299999999998</c:v>
                </c:pt>
                <c:pt idx="5">
                  <c:v>191.54999999999998</c:v>
                </c:pt>
                <c:pt idx="6">
                  <c:v>323.88099999999997</c:v>
                </c:pt>
                <c:pt idx="7">
                  <c:v>487.53100000000001</c:v>
                </c:pt>
                <c:pt idx="8">
                  <c:v>194.00700000000001</c:v>
                </c:pt>
                <c:pt idx="9">
                  <c:v>1345.4829999999999</c:v>
                </c:pt>
                <c:pt idx="10">
                  <c:v>673.1640000000001</c:v>
                </c:pt>
                <c:pt idx="11">
                  <c:v>909.221</c:v>
                </c:pt>
                <c:pt idx="12">
                  <c:v>1527.682</c:v>
                </c:pt>
                <c:pt idx="13">
                  <c:v>1123.183</c:v>
                </c:pt>
                <c:pt idx="14">
                  <c:v>2057.5540000000001</c:v>
                </c:pt>
              </c:numCache>
            </c:numRef>
          </c:val>
        </c:ser>
        <c:ser>
          <c:idx val="1"/>
          <c:order val="1"/>
          <c:tx>
            <c:strRef>
              <c:f>'Section 15 data country'!$K$80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country'!$K$81:$K$95</c:f>
              <c:numCache>
                <c:formatCode>#,##0.00</c:formatCode>
                <c:ptCount val="15"/>
                <c:pt idx="0">
                  <c:v>77539.513000000006</c:v>
                </c:pt>
                <c:pt idx="1">
                  <c:v>7257.7040000000006</c:v>
                </c:pt>
                <c:pt idx="2">
                  <c:v>7178.5069999999996</c:v>
                </c:pt>
                <c:pt idx="3">
                  <c:v>6981.2559999999994</c:v>
                </c:pt>
                <c:pt idx="4">
                  <c:v>3011.797</c:v>
                </c:pt>
                <c:pt idx="5">
                  <c:v>537.68399999999997</c:v>
                </c:pt>
                <c:pt idx="6">
                  <c:v>652.07100000000003</c:v>
                </c:pt>
                <c:pt idx="7">
                  <c:v>2871.509</c:v>
                </c:pt>
                <c:pt idx="8">
                  <c:v>1669.3829999999998</c:v>
                </c:pt>
                <c:pt idx="9">
                  <c:v>13476.484</c:v>
                </c:pt>
                <c:pt idx="10">
                  <c:v>6223.0919999999996</c:v>
                </c:pt>
                <c:pt idx="11">
                  <c:v>4499.2340000000004</c:v>
                </c:pt>
                <c:pt idx="12">
                  <c:v>6212.2760000000007</c:v>
                </c:pt>
                <c:pt idx="13">
                  <c:v>10641.667999999998</c:v>
                </c:pt>
                <c:pt idx="14">
                  <c:v>6326.848</c:v>
                </c:pt>
              </c:numCache>
            </c:numRef>
          </c:val>
        </c:ser>
        <c:ser>
          <c:idx val="2"/>
          <c:order val="2"/>
          <c:tx>
            <c:strRef>
              <c:f>'Section 15 data country'!$L$80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country'!$L$81:$L$95</c:f>
              <c:numCache>
                <c:formatCode>#,##0.00</c:formatCode>
                <c:ptCount val="15"/>
                <c:pt idx="0">
                  <c:v>177942.09700000001</c:v>
                </c:pt>
                <c:pt idx="1">
                  <c:v>7725.7210000000005</c:v>
                </c:pt>
                <c:pt idx="2">
                  <c:v>17451.120000000003</c:v>
                </c:pt>
                <c:pt idx="3">
                  <c:v>16181.21</c:v>
                </c:pt>
                <c:pt idx="4">
                  <c:v>6148.63</c:v>
                </c:pt>
                <c:pt idx="5">
                  <c:v>4046.2580000000003</c:v>
                </c:pt>
                <c:pt idx="6">
                  <c:v>5489.2429999999995</c:v>
                </c:pt>
                <c:pt idx="7">
                  <c:v>17221.775000000001</c:v>
                </c:pt>
                <c:pt idx="8">
                  <c:v>7404.7919999999995</c:v>
                </c:pt>
                <c:pt idx="9">
                  <c:v>5556.7159999999994</c:v>
                </c:pt>
                <c:pt idx="10">
                  <c:v>21854.725999999999</c:v>
                </c:pt>
                <c:pt idx="11">
                  <c:v>16691.351999999999</c:v>
                </c:pt>
                <c:pt idx="12">
                  <c:v>17864.198</c:v>
                </c:pt>
                <c:pt idx="13">
                  <c:v>22718.856</c:v>
                </c:pt>
                <c:pt idx="14">
                  <c:v>11587.5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6226432"/>
        <c:axId val="236227968"/>
      </c:barChart>
      <c:catAx>
        <c:axId val="236226432"/>
        <c:scaling>
          <c:orientation val="maxMin"/>
        </c:scaling>
        <c:delete val="0"/>
        <c:axPos val="l"/>
        <c:majorTickMark val="out"/>
        <c:minorTickMark val="none"/>
        <c:tickLblPos val="nextTo"/>
        <c:crossAx val="236227968"/>
        <c:crosses val="autoZero"/>
        <c:auto val="1"/>
        <c:lblAlgn val="ctr"/>
        <c:lblOffset val="100"/>
        <c:noMultiLvlLbl val="0"/>
      </c:catAx>
      <c:valAx>
        <c:axId val="2362279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226432"/>
        <c:crosses val="max"/>
        <c:crossBetween val="between"/>
      </c:valAx>
    </c:plotArea>
    <c:legend>
      <c:legendPos val="r"/>
      <c:layout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country'!$J$80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country'!$J$81:$J$95</c:f>
              <c:numCache>
                <c:formatCode>#,##0.00</c:formatCode>
                <c:ptCount val="15"/>
                <c:pt idx="0">
                  <c:v>12456.003000000001</c:v>
                </c:pt>
                <c:pt idx="1">
                  <c:v>1580.9769999999999</c:v>
                </c:pt>
                <c:pt idx="2">
                  <c:v>1072.9459999999999</c:v>
                </c:pt>
                <c:pt idx="3">
                  <c:v>481.00100000000003</c:v>
                </c:pt>
                <c:pt idx="4">
                  <c:v>487.82299999999998</c:v>
                </c:pt>
                <c:pt idx="5">
                  <c:v>191.54999999999998</c:v>
                </c:pt>
                <c:pt idx="6">
                  <c:v>323.88099999999997</c:v>
                </c:pt>
                <c:pt idx="7">
                  <c:v>487.53100000000001</c:v>
                </c:pt>
                <c:pt idx="8">
                  <c:v>194.00700000000001</c:v>
                </c:pt>
                <c:pt idx="9">
                  <c:v>1345.4829999999999</c:v>
                </c:pt>
                <c:pt idx="10">
                  <c:v>673.1640000000001</c:v>
                </c:pt>
                <c:pt idx="11">
                  <c:v>909.221</c:v>
                </c:pt>
                <c:pt idx="12">
                  <c:v>1527.682</c:v>
                </c:pt>
                <c:pt idx="13">
                  <c:v>1123.183</c:v>
                </c:pt>
                <c:pt idx="14">
                  <c:v>2057.5540000000001</c:v>
                </c:pt>
              </c:numCache>
            </c:numRef>
          </c:val>
        </c:ser>
        <c:ser>
          <c:idx val="1"/>
          <c:order val="1"/>
          <c:tx>
            <c:strRef>
              <c:f>'Section 15 data country'!$K$80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country'!$K$81:$K$95</c:f>
              <c:numCache>
                <c:formatCode>#,##0.00</c:formatCode>
                <c:ptCount val="15"/>
                <c:pt idx="0">
                  <c:v>77539.513000000006</c:v>
                </c:pt>
                <c:pt idx="1">
                  <c:v>7257.7040000000006</c:v>
                </c:pt>
                <c:pt idx="2">
                  <c:v>7178.5069999999996</c:v>
                </c:pt>
                <c:pt idx="3">
                  <c:v>6981.2559999999994</c:v>
                </c:pt>
                <c:pt idx="4">
                  <c:v>3011.797</c:v>
                </c:pt>
                <c:pt idx="5">
                  <c:v>537.68399999999997</c:v>
                </c:pt>
                <c:pt idx="6">
                  <c:v>652.07100000000003</c:v>
                </c:pt>
                <c:pt idx="7">
                  <c:v>2871.509</c:v>
                </c:pt>
                <c:pt idx="8">
                  <c:v>1669.3829999999998</c:v>
                </c:pt>
                <c:pt idx="9">
                  <c:v>13476.484</c:v>
                </c:pt>
                <c:pt idx="10">
                  <c:v>6223.0919999999996</c:v>
                </c:pt>
                <c:pt idx="11">
                  <c:v>4499.2340000000004</c:v>
                </c:pt>
                <c:pt idx="12">
                  <c:v>6212.2760000000007</c:v>
                </c:pt>
                <c:pt idx="13">
                  <c:v>10641.667999999998</c:v>
                </c:pt>
                <c:pt idx="14">
                  <c:v>6326.848</c:v>
                </c:pt>
              </c:numCache>
            </c:numRef>
          </c:val>
        </c:ser>
        <c:ser>
          <c:idx val="2"/>
          <c:order val="2"/>
          <c:tx>
            <c:strRef>
              <c:f>'Section 15 data country'!$L$80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country'!$I$81:$I$95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country'!$L$81:$L$95</c:f>
              <c:numCache>
                <c:formatCode>#,##0.00</c:formatCode>
                <c:ptCount val="15"/>
                <c:pt idx="0">
                  <c:v>177942.09700000001</c:v>
                </c:pt>
                <c:pt idx="1">
                  <c:v>7725.7210000000005</c:v>
                </c:pt>
                <c:pt idx="2">
                  <c:v>17451.120000000003</c:v>
                </c:pt>
                <c:pt idx="3">
                  <c:v>16181.21</c:v>
                </c:pt>
                <c:pt idx="4">
                  <c:v>6148.63</c:v>
                </c:pt>
                <c:pt idx="5">
                  <c:v>4046.2580000000003</c:v>
                </c:pt>
                <c:pt idx="6">
                  <c:v>5489.2429999999995</c:v>
                </c:pt>
                <c:pt idx="7">
                  <c:v>17221.775000000001</c:v>
                </c:pt>
                <c:pt idx="8">
                  <c:v>7404.7919999999995</c:v>
                </c:pt>
                <c:pt idx="9">
                  <c:v>5556.7159999999994</c:v>
                </c:pt>
                <c:pt idx="10">
                  <c:v>21854.725999999999</c:v>
                </c:pt>
                <c:pt idx="11">
                  <c:v>16691.351999999999</c:v>
                </c:pt>
                <c:pt idx="12">
                  <c:v>17864.198</c:v>
                </c:pt>
                <c:pt idx="13">
                  <c:v>22718.856</c:v>
                </c:pt>
                <c:pt idx="14">
                  <c:v>11587.5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6307968"/>
        <c:axId val="236309504"/>
      </c:barChart>
      <c:catAx>
        <c:axId val="236307968"/>
        <c:scaling>
          <c:orientation val="maxMin"/>
        </c:scaling>
        <c:delete val="0"/>
        <c:axPos val="l"/>
        <c:majorTickMark val="out"/>
        <c:minorTickMark val="none"/>
        <c:tickLblPos val="nextTo"/>
        <c:crossAx val="236309504"/>
        <c:crosses val="autoZero"/>
        <c:auto val="1"/>
        <c:lblAlgn val="ctr"/>
        <c:lblOffset val="100"/>
        <c:noMultiLvlLbl val="0"/>
      </c:catAx>
      <c:valAx>
        <c:axId val="2363095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307968"/>
        <c:crosses val="max"/>
        <c:crossBetween val="between"/>
      </c:valAx>
    </c:plotArea>
    <c:legend>
      <c:legendPos val="r"/>
      <c:layout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Larch as a proportion of woodland (based on number of trees)</a:t>
            </a:r>
          </a:p>
        </c:rich>
      </c:tx>
      <c:layout/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country'!$Q$80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country'!$Q$81:$Q$95</c:f>
              <c:numCache>
                <c:formatCode>#,##0.00</c:formatCode>
                <c:ptCount val="15"/>
                <c:pt idx="0">
                  <c:v>31731.709000000003</c:v>
                </c:pt>
                <c:pt idx="1">
                  <c:v>4480.5569999999998</c:v>
                </c:pt>
                <c:pt idx="2">
                  <c:v>2477.5549999999998</c:v>
                </c:pt>
                <c:pt idx="3">
                  <c:v>1123.123</c:v>
                </c:pt>
                <c:pt idx="4">
                  <c:v>793.721</c:v>
                </c:pt>
                <c:pt idx="5">
                  <c:v>530.38400000000001</c:v>
                </c:pt>
                <c:pt idx="6">
                  <c:v>577.06799999999998</c:v>
                </c:pt>
                <c:pt idx="7">
                  <c:v>1383.7829999999999</c:v>
                </c:pt>
                <c:pt idx="8">
                  <c:v>529.28800000000001</c:v>
                </c:pt>
                <c:pt idx="9">
                  <c:v>4089.261</c:v>
                </c:pt>
                <c:pt idx="10">
                  <c:v>1494.2929999999999</c:v>
                </c:pt>
                <c:pt idx="11">
                  <c:v>1598.1599999999999</c:v>
                </c:pt>
                <c:pt idx="12">
                  <c:v>3801.0590000000002</c:v>
                </c:pt>
                <c:pt idx="13">
                  <c:v>1950.3209999999999</c:v>
                </c:pt>
                <c:pt idx="14">
                  <c:v>6903.1360000000004</c:v>
                </c:pt>
              </c:numCache>
            </c:numRef>
          </c:val>
        </c:ser>
        <c:ser>
          <c:idx val="1"/>
          <c:order val="1"/>
          <c:tx>
            <c:strRef>
              <c:f>'Section 15 data country'!$R$80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country'!$R$81:$R$95</c:f>
              <c:numCache>
                <c:formatCode>#,##0.00</c:formatCode>
                <c:ptCount val="15"/>
                <c:pt idx="0">
                  <c:v>273473.35800000001</c:v>
                </c:pt>
                <c:pt idx="1">
                  <c:v>34654.054000000004</c:v>
                </c:pt>
                <c:pt idx="2">
                  <c:v>20637.886999999999</c:v>
                </c:pt>
                <c:pt idx="3">
                  <c:v>28219.214</c:v>
                </c:pt>
                <c:pt idx="4">
                  <c:v>8484.33</c:v>
                </c:pt>
                <c:pt idx="5">
                  <c:v>1613.4139999999998</c:v>
                </c:pt>
                <c:pt idx="6">
                  <c:v>1626.0960000000002</c:v>
                </c:pt>
                <c:pt idx="7">
                  <c:v>8040.1759999999995</c:v>
                </c:pt>
                <c:pt idx="8">
                  <c:v>5970.6530000000002</c:v>
                </c:pt>
                <c:pt idx="9">
                  <c:v>82088.078999999998</c:v>
                </c:pt>
                <c:pt idx="10">
                  <c:v>16767.270999999997</c:v>
                </c:pt>
                <c:pt idx="11">
                  <c:v>9612.4709999999995</c:v>
                </c:pt>
                <c:pt idx="12">
                  <c:v>11436.094999999998</c:v>
                </c:pt>
                <c:pt idx="13">
                  <c:v>19632.528000000002</c:v>
                </c:pt>
                <c:pt idx="14">
                  <c:v>24691.090000000004</c:v>
                </c:pt>
              </c:numCache>
            </c:numRef>
          </c:val>
        </c:ser>
        <c:ser>
          <c:idx val="2"/>
          <c:order val="2"/>
          <c:tx>
            <c:strRef>
              <c:f>'Section 15 data country'!$S$80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country'!$S$81:$S$95</c:f>
              <c:numCache>
                <c:formatCode>#,##0.00</c:formatCode>
                <c:ptCount val="15"/>
                <c:pt idx="0">
                  <c:v>1041478.706</c:v>
                </c:pt>
                <c:pt idx="1">
                  <c:v>49491.281999999999</c:v>
                </c:pt>
                <c:pt idx="2">
                  <c:v>101036.16800000001</c:v>
                </c:pt>
                <c:pt idx="3">
                  <c:v>99653.861000000004</c:v>
                </c:pt>
                <c:pt idx="4">
                  <c:v>41422.396000000001</c:v>
                </c:pt>
                <c:pt idx="5">
                  <c:v>21688.277999999998</c:v>
                </c:pt>
                <c:pt idx="6">
                  <c:v>27971.547999999999</c:v>
                </c:pt>
                <c:pt idx="7">
                  <c:v>125248.374</c:v>
                </c:pt>
                <c:pt idx="8">
                  <c:v>46181.748999999996</c:v>
                </c:pt>
                <c:pt idx="9">
                  <c:v>50374.337</c:v>
                </c:pt>
                <c:pt idx="10">
                  <c:v>108875.016</c:v>
                </c:pt>
                <c:pt idx="11">
                  <c:v>82949.718999999997</c:v>
                </c:pt>
                <c:pt idx="12">
                  <c:v>90018.031000000003</c:v>
                </c:pt>
                <c:pt idx="13">
                  <c:v>118195.003</c:v>
                </c:pt>
                <c:pt idx="14">
                  <c:v>78372.944000000003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6737280"/>
        <c:axId val="236738816"/>
      </c:barChart>
      <c:catAx>
        <c:axId val="236737280"/>
        <c:scaling>
          <c:orientation val="maxMin"/>
        </c:scaling>
        <c:delete val="0"/>
        <c:axPos val="l"/>
        <c:majorTickMark val="out"/>
        <c:minorTickMark val="none"/>
        <c:tickLblPos val="nextTo"/>
        <c:crossAx val="236738816"/>
        <c:crosses val="autoZero"/>
        <c:auto val="1"/>
        <c:lblAlgn val="ctr"/>
        <c:lblOffset val="100"/>
        <c:noMultiLvlLbl val="0"/>
      </c:catAx>
      <c:valAx>
        <c:axId val="23673881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737280"/>
        <c:crosses val="max"/>
        <c:crossBetween val="between"/>
      </c:valAx>
    </c:plotArea>
    <c:legend>
      <c:legendPos val="r"/>
      <c:layout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 country'!$Q$80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country'!$Q$81:$Q$95</c:f>
              <c:numCache>
                <c:formatCode>#,##0.00</c:formatCode>
                <c:ptCount val="15"/>
                <c:pt idx="0">
                  <c:v>31731.709000000003</c:v>
                </c:pt>
                <c:pt idx="1">
                  <c:v>4480.5569999999998</c:v>
                </c:pt>
                <c:pt idx="2">
                  <c:v>2477.5549999999998</c:v>
                </c:pt>
                <c:pt idx="3">
                  <c:v>1123.123</c:v>
                </c:pt>
                <c:pt idx="4">
                  <c:v>793.721</c:v>
                </c:pt>
                <c:pt idx="5">
                  <c:v>530.38400000000001</c:v>
                </c:pt>
                <c:pt idx="6">
                  <c:v>577.06799999999998</c:v>
                </c:pt>
                <c:pt idx="7">
                  <c:v>1383.7829999999999</c:v>
                </c:pt>
                <c:pt idx="8">
                  <c:v>529.28800000000001</c:v>
                </c:pt>
                <c:pt idx="9">
                  <c:v>4089.261</c:v>
                </c:pt>
                <c:pt idx="10">
                  <c:v>1494.2929999999999</c:v>
                </c:pt>
                <c:pt idx="11">
                  <c:v>1598.1599999999999</c:v>
                </c:pt>
                <c:pt idx="12">
                  <c:v>3801.0590000000002</c:v>
                </c:pt>
                <c:pt idx="13">
                  <c:v>1950.3209999999999</c:v>
                </c:pt>
                <c:pt idx="14">
                  <c:v>6903.1360000000004</c:v>
                </c:pt>
              </c:numCache>
            </c:numRef>
          </c:val>
        </c:ser>
        <c:ser>
          <c:idx val="1"/>
          <c:order val="1"/>
          <c:tx>
            <c:strRef>
              <c:f>'Section 15 data country'!$R$80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country'!$R$81:$R$95</c:f>
              <c:numCache>
                <c:formatCode>#,##0.00</c:formatCode>
                <c:ptCount val="15"/>
                <c:pt idx="0">
                  <c:v>273473.35800000001</c:v>
                </c:pt>
                <c:pt idx="1">
                  <c:v>34654.054000000004</c:v>
                </c:pt>
                <c:pt idx="2">
                  <c:v>20637.886999999999</c:v>
                </c:pt>
                <c:pt idx="3">
                  <c:v>28219.214</c:v>
                </c:pt>
                <c:pt idx="4">
                  <c:v>8484.33</c:v>
                </c:pt>
                <c:pt idx="5">
                  <c:v>1613.4139999999998</c:v>
                </c:pt>
                <c:pt idx="6">
                  <c:v>1626.0960000000002</c:v>
                </c:pt>
                <c:pt idx="7">
                  <c:v>8040.1759999999995</c:v>
                </c:pt>
                <c:pt idx="8">
                  <c:v>5970.6530000000002</c:v>
                </c:pt>
                <c:pt idx="9">
                  <c:v>82088.078999999998</c:v>
                </c:pt>
                <c:pt idx="10">
                  <c:v>16767.270999999997</c:v>
                </c:pt>
                <c:pt idx="11">
                  <c:v>9612.4709999999995</c:v>
                </c:pt>
                <c:pt idx="12">
                  <c:v>11436.094999999998</c:v>
                </c:pt>
                <c:pt idx="13">
                  <c:v>19632.528000000002</c:v>
                </c:pt>
                <c:pt idx="14">
                  <c:v>24691.090000000004</c:v>
                </c:pt>
              </c:numCache>
            </c:numRef>
          </c:val>
        </c:ser>
        <c:ser>
          <c:idx val="2"/>
          <c:order val="2"/>
          <c:tx>
            <c:strRef>
              <c:f>'Section 15 data country'!$S$80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 country'!$P$81:$P$95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Cornwall and the Isles of Scilly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Greater Manchester Merseyside and Cheshire</c:v>
                </c:pt>
                <c:pt idx="6">
                  <c:v>Hertfordshire and North London</c:v>
                </c:pt>
                <c:pt idx="7">
                  <c:v>Kent South London and East Sussex</c:v>
                </c:pt>
                <c:pt idx="8">
                  <c:v>Lincolnshire and Northamptonshire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'Section 15 data country'!$S$81:$S$95</c:f>
              <c:numCache>
                <c:formatCode>#,##0.00</c:formatCode>
                <c:ptCount val="15"/>
                <c:pt idx="0">
                  <c:v>1041478.706</c:v>
                </c:pt>
                <c:pt idx="1">
                  <c:v>49491.281999999999</c:v>
                </c:pt>
                <c:pt idx="2">
                  <c:v>101036.16800000001</c:v>
                </c:pt>
                <c:pt idx="3">
                  <c:v>99653.861000000004</c:v>
                </c:pt>
                <c:pt idx="4">
                  <c:v>41422.396000000001</c:v>
                </c:pt>
                <c:pt idx="5">
                  <c:v>21688.277999999998</c:v>
                </c:pt>
                <c:pt idx="6">
                  <c:v>27971.547999999999</c:v>
                </c:pt>
                <c:pt idx="7">
                  <c:v>125248.374</c:v>
                </c:pt>
                <c:pt idx="8">
                  <c:v>46181.748999999996</c:v>
                </c:pt>
                <c:pt idx="9">
                  <c:v>50374.337</c:v>
                </c:pt>
                <c:pt idx="10">
                  <c:v>108875.016</c:v>
                </c:pt>
                <c:pt idx="11">
                  <c:v>82949.718999999997</c:v>
                </c:pt>
                <c:pt idx="12">
                  <c:v>90018.031000000003</c:v>
                </c:pt>
                <c:pt idx="13">
                  <c:v>118195.003</c:v>
                </c:pt>
                <c:pt idx="14">
                  <c:v>78372.944000000003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6802432"/>
        <c:axId val="236803968"/>
      </c:barChart>
      <c:catAx>
        <c:axId val="236802432"/>
        <c:scaling>
          <c:orientation val="maxMin"/>
        </c:scaling>
        <c:delete val="0"/>
        <c:axPos val="l"/>
        <c:majorTickMark val="out"/>
        <c:minorTickMark val="none"/>
        <c:tickLblPos val="nextTo"/>
        <c:crossAx val="236803968"/>
        <c:crosses val="autoZero"/>
        <c:auto val="1"/>
        <c:lblAlgn val="ctr"/>
        <c:lblOffset val="100"/>
        <c:noMultiLvlLbl val="0"/>
      </c:catAx>
      <c:valAx>
        <c:axId val="2368039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6802432"/>
        <c:crosses val="max"/>
        <c:crossBetween val="between"/>
      </c:valAx>
    </c:plotArea>
    <c:legend>
      <c:legendPos val="r"/>
      <c:layout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Clearfell area </a:t>
            </a:r>
            <a:r>
              <a:rPr lang="en-GB" baseline="0"/>
              <a:t>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country'!$C$27:$C$40</c:f>
              <c:numCache>
                <c:formatCode>#,##0.0</c:formatCode>
                <c:ptCount val="14"/>
              </c:numCache>
            </c:numRef>
          </c:val>
        </c:ser>
        <c:ser>
          <c:idx val="1"/>
          <c:order val="1"/>
          <c:tx>
            <c:strRef>
              <c:f>'Section 6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country'!$P$27:$P$40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'Section 6 data country'!$P$27:$P$40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</c:errBars>
          <c:cat>
            <c:strRef>
              <c:f>'Section 6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country'!$D$27:$D$40</c:f>
              <c:numCache>
                <c:formatCode>#,##0.0</c:formatCode>
                <c:ptCount val="1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670976"/>
        <c:axId val="236672512"/>
      </c:barChart>
      <c:catAx>
        <c:axId val="236670976"/>
        <c:scaling>
          <c:orientation val="maxMin"/>
        </c:scaling>
        <c:delete val="0"/>
        <c:axPos val="l"/>
        <c:majorTickMark val="out"/>
        <c:minorTickMark val="none"/>
        <c:tickLblPos val="nextTo"/>
        <c:crossAx val="236672512"/>
        <c:crosses val="autoZero"/>
        <c:auto val="1"/>
        <c:lblAlgn val="ctr"/>
        <c:lblOffset val="100"/>
        <c:tickLblSkip val="1"/>
        <c:noMultiLvlLbl val="0"/>
      </c:catAx>
      <c:valAx>
        <c:axId val="236672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236670976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7.3831391539803753E-2"/>
          <c:w val="0.63771113409169256"/>
          <c:h val="0.799050071600091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2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2 data'!$H$8:$H$26</c:f>
              <c:numCache>
                <c:formatCode>#,##0.0</c:formatCode>
                <c:ptCount val="19"/>
                <c:pt idx="0">
                  <c:v>80.267139999999998</c:v>
                </c:pt>
                <c:pt idx="1">
                  <c:v>61.454690000000006</c:v>
                </c:pt>
                <c:pt idx="2">
                  <c:v>40.500339999999994</c:v>
                </c:pt>
                <c:pt idx="3">
                  <c:v>26.790880000000001</c:v>
                </c:pt>
                <c:pt idx="4">
                  <c:v>40.242220000000003</c:v>
                </c:pt>
                <c:pt idx="5">
                  <c:v>24.434480000000001</c:v>
                </c:pt>
                <c:pt idx="6">
                  <c:v>7.6952600000000011</c:v>
                </c:pt>
                <c:pt idx="7">
                  <c:v>23.419899999999998</c:v>
                </c:pt>
                <c:pt idx="8">
                  <c:v>166.40674000000001</c:v>
                </c:pt>
                <c:pt idx="9">
                  <c:v>70.313819999999993</c:v>
                </c:pt>
                <c:pt idx="10">
                  <c:v>75.560929999999999</c:v>
                </c:pt>
                <c:pt idx="11">
                  <c:v>120.56268</c:v>
                </c:pt>
                <c:pt idx="12">
                  <c:v>95.461369999999988</c:v>
                </c:pt>
                <c:pt idx="13">
                  <c:v>30.104410000000005</c:v>
                </c:pt>
                <c:pt idx="14">
                  <c:v>62.777680000000004</c:v>
                </c:pt>
                <c:pt idx="15">
                  <c:v>55.825159999999997</c:v>
                </c:pt>
                <c:pt idx="16">
                  <c:v>30.572570000000006</c:v>
                </c:pt>
                <c:pt idx="17">
                  <c:v>40.307030000000005</c:v>
                </c:pt>
                <c:pt idx="18">
                  <c:v>143.68333999999999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721280"/>
        <c:axId val="128715008"/>
      </c:barChart>
      <c:valAx>
        <c:axId val="128715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8721280"/>
        <c:crosses val="max"/>
        <c:crossBetween val="between"/>
      </c:valAx>
      <c:catAx>
        <c:axId val="12872128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87150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country'!$C$27:$C$40</c:f>
              <c:numCache>
                <c:formatCode>#,##0.0</c:formatCode>
                <c:ptCount val="14"/>
              </c:numCache>
            </c:numRef>
          </c:val>
        </c:ser>
        <c:ser>
          <c:idx val="1"/>
          <c:order val="1"/>
          <c:tx>
            <c:strRef>
              <c:f>'Section 6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country'!$P$27:$P$40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'Section 6 data country'!$P$27:$P$40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</c:errBars>
          <c:cat>
            <c:strRef>
              <c:f>'Section 6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country'!$D$27:$D$40</c:f>
              <c:numCache>
                <c:formatCode>#,##0.0</c:formatCode>
                <c:ptCount val="1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6891520"/>
        <c:axId val="236893312"/>
      </c:barChart>
      <c:catAx>
        <c:axId val="236891520"/>
        <c:scaling>
          <c:orientation val="maxMin"/>
        </c:scaling>
        <c:delete val="0"/>
        <c:axPos val="l"/>
        <c:majorTickMark val="out"/>
        <c:minorTickMark val="none"/>
        <c:tickLblPos val="nextTo"/>
        <c:crossAx val="236893312"/>
        <c:crosses val="autoZero"/>
        <c:auto val="1"/>
        <c:lblAlgn val="ctr"/>
        <c:lblOffset val="100"/>
        <c:tickLblSkip val="1"/>
        <c:noMultiLvlLbl val="0"/>
      </c:catAx>
      <c:valAx>
        <c:axId val="236893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236891520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in all conifers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country'!$G$7:$G$20</c:f>
              <c:numCache>
                <c:formatCode>#,##0.0</c:formatCode>
                <c:ptCount val="14"/>
                <c:pt idx="0">
                  <c:v>920.92899999999997</c:v>
                </c:pt>
                <c:pt idx="1">
                  <c:v>580.98</c:v>
                </c:pt>
                <c:pt idx="2">
                  <c:v>1086.8710000000001</c:v>
                </c:pt>
                <c:pt idx="3">
                  <c:v>340.25</c:v>
                </c:pt>
                <c:pt idx="4">
                  <c:v>40.026000000000003</c:v>
                </c:pt>
                <c:pt idx="5">
                  <c:v>15.616</c:v>
                </c:pt>
                <c:pt idx="6">
                  <c:v>172.03100000000001</c:v>
                </c:pt>
                <c:pt idx="7">
                  <c:v>221.45500000000001</c:v>
                </c:pt>
                <c:pt idx="8">
                  <c:v>2280.712</c:v>
                </c:pt>
                <c:pt idx="9">
                  <c:v>687.40499999999997</c:v>
                </c:pt>
                <c:pt idx="10">
                  <c:v>84.131</c:v>
                </c:pt>
                <c:pt idx="11">
                  <c:v>961.72400000000005</c:v>
                </c:pt>
                <c:pt idx="12">
                  <c:v>447.87099999999998</c:v>
                </c:pt>
                <c:pt idx="13">
                  <c:v>807.20299999999997</c:v>
                </c:pt>
              </c:numCache>
            </c:numRef>
          </c:val>
        </c:ser>
        <c:ser>
          <c:idx val="1"/>
          <c:order val="1"/>
          <c:tx>
            <c:strRef>
              <c:f>'Section 7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110.30349440000001</c:v>
                  </c:pt>
                  <c:pt idx="11">
                    <c:v>215.43009599999996</c:v>
                  </c:pt>
                  <c:pt idx="12">
                    <c:v>151.98093900000001</c:v>
                  </c:pt>
                  <c:pt idx="13">
                    <c:v>105.00874930000001</c:v>
                  </c:pt>
                </c:numCache>
              </c:numRef>
            </c:plus>
            <c:minus>
              <c:numRef>
                <c:f>'Section 7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110.30349440000001</c:v>
                  </c:pt>
                  <c:pt idx="11">
                    <c:v>215.43009599999996</c:v>
                  </c:pt>
                  <c:pt idx="12">
                    <c:v>151.98093900000001</c:v>
                  </c:pt>
                  <c:pt idx="13">
                    <c:v>105.00874930000001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country'!$H$7:$H$20</c:f>
              <c:numCache>
                <c:formatCode>#,##0.0</c:formatCode>
                <c:ptCount val="14"/>
                <c:pt idx="0">
                  <c:v>1820.877</c:v>
                </c:pt>
                <c:pt idx="1">
                  <c:v>1891.3689999999999</c:v>
                </c:pt>
                <c:pt idx="2">
                  <c:v>1284.0039999999999</c:v>
                </c:pt>
                <c:pt idx="3">
                  <c:v>760.28899999999999</c:v>
                </c:pt>
                <c:pt idx="4">
                  <c:v>183.703</c:v>
                </c:pt>
                <c:pt idx="5">
                  <c:v>277.69099999999997</c:v>
                </c:pt>
                <c:pt idx="6">
                  <c:v>842.399</c:v>
                </c:pt>
                <c:pt idx="7">
                  <c:v>365.37099999999998</c:v>
                </c:pt>
                <c:pt idx="8">
                  <c:v>2553.5990000000002</c:v>
                </c:pt>
                <c:pt idx="9">
                  <c:v>1442.4970000000001</c:v>
                </c:pt>
                <c:pt idx="10">
                  <c:v>1566.8109999999999</c:v>
                </c:pt>
                <c:pt idx="11">
                  <c:v>2476.2080000000001</c:v>
                </c:pt>
                <c:pt idx="12">
                  <c:v>1897.39</c:v>
                </c:pt>
                <c:pt idx="13">
                  <c:v>1819.9090000000001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419520"/>
        <c:axId val="98046336"/>
      </c:barChart>
      <c:catAx>
        <c:axId val="87419520"/>
        <c:scaling>
          <c:orientation val="maxMin"/>
        </c:scaling>
        <c:delete val="0"/>
        <c:axPos val="l"/>
        <c:majorTickMark val="out"/>
        <c:minorTickMark val="none"/>
        <c:tickLblPos val="nextTo"/>
        <c:crossAx val="98046336"/>
        <c:crosses val="autoZero"/>
        <c:auto val="1"/>
        <c:lblAlgn val="ctr"/>
        <c:lblOffset val="100"/>
        <c:tickLblSkip val="1"/>
        <c:noMultiLvlLbl val="0"/>
      </c:catAx>
      <c:valAx>
        <c:axId val="98046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000 's of </a:t>
                </a:r>
                <a:r>
                  <a:rPr lang="en-US" baseline="0"/>
                  <a:t> tonnes</a:t>
                </a:r>
                <a:endParaRPr lang="en-US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87419520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country'!$G$7:$G$20</c:f>
              <c:numCache>
                <c:formatCode>#,##0.0</c:formatCode>
                <c:ptCount val="14"/>
                <c:pt idx="0">
                  <c:v>920.92899999999997</c:v>
                </c:pt>
                <c:pt idx="1">
                  <c:v>580.98</c:v>
                </c:pt>
                <c:pt idx="2">
                  <c:v>1086.8710000000001</c:v>
                </c:pt>
                <c:pt idx="3">
                  <c:v>340.25</c:v>
                </c:pt>
                <c:pt idx="4">
                  <c:v>40.026000000000003</c:v>
                </c:pt>
                <c:pt idx="5">
                  <c:v>15.616</c:v>
                </c:pt>
                <c:pt idx="6">
                  <c:v>172.03100000000001</c:v>
                </c:pt>
                <c:pt idx="7">
                  <c:v>221.45500000000001</c:v>
                </c:pt>
                <c:pt idx="8">
                  <c:v>2280.712</c:v>
                </c:pt>
                <c:pt idx="9">
                  <c:v>687.40499999999997</c:v>
                </c:pt>
                <c:pt idx="10">
                  <c:v>84.131</c:v>
                </c:pt>
                <c:pt idx="11">
                  <c:v>961.72400000000005</c:v>
                </c:pt>
                <c:pt idx="12">
                  <c:v>447.87099999999998</c:v>
                </c:pt>
                <c:pt idx="13">
                  <c:v>807.20299999999997</c:v>
                </c:pt>
              </c:numCache>
            </c:numRef>
          </c:val>
        </c:ser>
        <c:ser>
          <c:idx val="1"/>
          <c:order val="1"/>
          <c:tx>
            <c:strRef>
              <c:f>'Section 7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110.30349440000001</c:v>
                  </c:pt>
                  <c:pt idx="11">
                    <c:v>215.43009599999996</c:v>
                  </c:pt>
                  <c:pt idx="12">
                    <c:v>151.98093900000001</c:v>
                  </c:pt>
                  <c:pt idx="13">
                    <c:v>105.00874930000001</c:v>
                  </c:pt>
                </c:numCache>
              </c:numRef>
            </c:plus>
            <c:minus>
              <c:numRef>
                <c:f>'Section 7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110.30349440000001</c:v>
                  </c:pt>
                  <c:pt idx="11">
                    <c:v>215.43009599999996</c:v>
                  </c:pt>
                  <c:pt idx="12">
                    <c:v>151.98093900000001</c:v>
                  </c:pt>
                  <c:pt idx="13">
                    <c:v>105.00874930000001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country'!$H$7:$H$20</c:f>
              <c:numCache>
                <c:formatCode>#,##0.0</c:formatCode>
                <c:ptCount val="14"/>
                <c:pt idx="0">
                  <c:v>1820.877</c:v>
                </c:pt>
                <c:pt idx="1">
                  <c:v>1891.3689999999999</c:v>
                </c:pt>
                <c:pt idx="2">
                  <c:v>1284.0039999999999</c:v>
                </c:pt>
                <c:pt idx="3">
                  <c:v>760.28899999999999</c:v>
                </c:pt>
                <c:pt idx="4">
                  <c:v>183.703</c:v>
                </c:pt>
                <c:pt idx="5">
                  <c:v>277.69099999999997</c:v>
                </c:pt>
                <c:pt idx="6">
                  <c:v>842.399</c:v>
                </c:pt>
                <c:pt idx="7">
                  <c:v>365.37099999999998</c:v>
                </c:pt>
                <c:pt idx="8">
                  <c:v>2553.5990000000002</c:v>
                </c:pt>
                <c:pt idx="9">
                  <c:v>1442.4970000000001</c:v>
                </c:pt>
                <c:pt idx="10">
                  <c:v>1566.8109999999999</c:v>
                </c:pt>
                <c:pt idx="11">
                  <c:v>2476.2080000000001</c:v>
                </c:pt>
                <c:pt idx="12">
                  <c:v>1897.39</c:v>
                </c:pt>
                <c:pt idx="13">
                  <c:v>1819.9090000000001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8097408"/>
        <c:axId val="98103296"/>
      </c:barChart>
      <c:catAx>
        <c:axId val="98097408"/>
        <c:scaling>
          <c:orientation val="maxMin"/>
        </c:scaling>
        <c:delete val="0"/>
        <c:axPos val="l"/>
        <c:majorTickMark val="out"/>
        <c:minorTickMark val="none"/>
        <c:tickLblPos val="nextTo"/>
        <c:crossAx val="98103296"/>
        <c:crosses val="autoZero"/>
        <c:auto val="1"/>
        <c:lblAlgn val="ctr"/>
        <c:lblOffset val="100"/>
        <c:tickLblSkip val="1"/>
        <c:noMultiLvlLbl val="0"/>
      </c:catAx>
      <c:valAx>
        <c:axId val="98103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000 's of  tonnes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98097408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in all broadleaves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country'!$K$7:$K$20</c:f>
              <c:numCache>
                <c:formatCode>#,##0.0</c:formatCode>
                <c:ptCount val="14"/>
                <c:pt idx="0">
                  <c:v>163.25899999999999</c:v>
                </c:pt>
                <c:pt idx="1">
                  <c:v>135.53</c:v>
                </c:pt>
                <c:pt idx="2">
                  <c:v>249.21</c:v>
                </c:pt>
                <c:pt idx="3">
                  <c:v>101.471</c:v>
                </c:pt>
                <c:pt idx="4">
                  <c:v>23.902999999999999</c:v>
                </c:pt>
                <c:pt idx="5">
                  <c:v>26.763999999999999</c:v>
                </c:pt>
                <c:pt idx="6">
                  <c:v>170.20099999999999</c:v>
                </c:pt>
                <c:pt idx="7">
                  <c:v>369.92200000000003</c:v>
                </c:pt>
                <c:pt idx="8">
                  <c:v>60.192</c:v>
                </c:pt>
                <c:pt idx="9">
                  <c:v>1615.575</c:v>
                </c:pt>
                <c:pt idx="10">
                  <c:v>102.79</c:v>
                </c:pt>
                <c:pt idx="11">
                  <c:v>511.42599999999999</c:v>
                </c:pt>
                <c:pt idx="12">
                  <c:v>356.79899999999998</c:v>
                </c:pt>
                <c:pt idx="13">
                  <c:v>155.63499999999999</c:v>
                </c:pt>
              </c:numCache>
            </c:numRef>
          </c:val>
        </c:ser>
        <c:ser>
          <c:idx val="1"/>
          <c:order val="1"/>
          <c:tx>
            <c:strRef>
              <c:f>'Section 7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247.44871979999999</c:v>
                  </c:pt>
                  <c:pt idx="11">
                    <c:v>433.75089439999994</c:v>
                  </c:pt>
                  <c:pt idx="12">
                    <c:v>334.56593939999999</c:v>
                  </c:pt>
                  <c:pt idx="13">
                    <c:v>208.09853899999999</c:v>
                  </c:pt>
                </c:numCache>
              </c:numRef>
            </c:plus>
            <c:minus>
              <c:numRef>
                <c:f>'Section 7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247.44871979999999</c:v>
                  </c:pt>
                  <c:pt idx="11">
                    <c:v>433.75089439999994</c:v>
                  </c:pt>
                  <c:pt idx="12">
                    <c:v>334.56593939999999</c:v>
                  </c:pt>
                  <c:pt idx="13">
                    <c:v>208.09853899999999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country'!$L$7:$L$20</c:f>
              <c:numCache>
                <c:formatCode>#,##0.0</c:formatCode>
                <c:ptCount val="14"/>
                <c:pt idx="0">
                  <c:v>3306.3009999999999</c:v>
                </c:pt>
                <c:pt idx="1">
                  <c:v>7517.1329999999998</c:v>
                </c:pt>
                <c:pt idx="2">
                  <c:v>6568.4470000000001</c:v>
                </c:pt>
                <c:pt idx="3">
                  <c:v>2524.58</c:v>
                </c:pt>
                <c:pt idx="4">
                  <c:v>1745.9839999999999</c:v>
                </c:pt>
                <c:pt idx="5">
                  <c:v>2360.5540000000001</c:v>
                </c:pt>
                <c:pt idx="6">
                  <c:v>7322.9719999999998</c:v>
                </c:pt>
                <c:pt idx="7">
                  <c:v>2732.7860000000001</c:v>
                </c:pt>
                <c:pt idx="8">
                  <c:v>2543.8690000000001</c:v>
                </c:pt>
                <c:pt idx="9">
                  <c:v>7801.0069999999996</c:v>
                </c:pt>
                <c:pt idx="10">
                  <c:v>6892.7219999999998</c:v>
                </c:pt>
                <c:pt idx="11">
                  <c:v>8888.3379999999997</c:v>
                </c:pt>
                <c:pt idx="12">
                  <c:v>7241.6869999999999</c:v>
                </c:pt>
                <c:pt idx="13">
                  <c:v>4931.2449999999999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8182656"/>
        <c:axId val="98184192"/>
      </c:barChart>
      <c:catAx>
        <c:axId val="98182656"/>
        <c:scaling>
          <c:orientation val="maxMin"/>
        </c:scaling>
        <c:delete val="0"/>
        <c:axPos val="l"/>
        <c:majorTickMark val="out"/>
        <c:minorTickMark val="none"/>
        <c:tickLblPos val="nextTo"/>
        <c:crossAx val="98184192"/>
        <c:crosses val="autoZero"/>
        <c:auto val="1"/>
        <c:lblAlgn val="ctr"/>
        <c:lblOffset val="100"/>
        <c:tickLblSkip val="1"/>
        <c:noMultiLvlLbl val="0"/>
      </c:catAx>
      <c:valAx>
        <c:axId val="9818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000 's of tonnes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98182656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country'!$K$7:$K$20</c:f>
              <c:numCache>
                <c:formatCode>#,##0.0</c:formatCode>
                <c:ptCount val="14"/>
                <c:pt idx="0">
                  <c:v>163.25899999999999</c:v>
                </c:pt>
                <c:pt idx="1">
                  <c:v>135.53</c:v>
                </c:pt>
                <c:pt idx="2">
                  <c:v>249.21</c:v>
                </c:pt>
                <c:pt idx="3">
                  <c:v>101.471</c:v>
                </c:pt>
                <c:pt idx="4">
                  <c:v>23.902999999999999</c:v>
                </c:pt>
                <c:pt idx="5">
                  <c:v>26.763999999999999</c:v>
                </c:pt>
                <c:pt idx="6">
                  <c:v>170.20099999999999</c:v>
                </c:pt>
                <c:pt idx="7">
                  <c:v>369.92200000000003</c:v>
                </c:pt>
                <c:pt idx="8">
                  <c:v>60.192</c:v>
                </c:pt>
                <c:pt idx="9">
                  <c:v>1615.575</c:v>
                </c:pt>
                <c:pt idx="10">
                  <c:v>102.79</c:v>
                </c:pt>
                <c:pt idx="11">
                  <c:v>511.42599999999999</c:v>
                </c:pt>
                <c:pt idx="12">
                  <c:v>356.79899999999998</c:v>
                </c:pt>
                <c:pt idx="13">
                  <c:v>155.63499999999999</c:v>
                </c:pt>
              </c:numCache>
            </c:numRef>
          </c:val>
        </c:ser>
        <c:ser>
          <c:idx val="1"/>
          <c:order val="1"/>
          <c:tx>
            <c:strRef>
              <c:f>'Section 7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247.44871979999999</c:v>
                  </c:pt>
                  <c:pt idx="11">
                    <c:v>433.75089439999994</c:v>
                  </c:pt>
                  <c:pt idx="12">
                    <c:v>334.56593939999999</c:v>
                  </c:pt>
                  <c:pt idx="13">
                    <c:v>208.09853899999999</c:v>
                  </c:pt>
                </c:numCache>
              </c:numRef>
            </c:plus>
            <c:minus>
              <c:numRef>
                <c:f>'Section 7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247.44871979999999</c:v>
                  </c:pt>
                  <c:pt idx="11">
                    <c:v>433.75089439999994</c:v>
                  </c:pt>
                  <c:pt idx="12">
                    <c:v>334.56593939999999</c:v>
                  </c:pt>
                  <c:pt idx="13">
                    <c:v>208.09853899999999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country'!$L$7:$L$20</c:f>
              <c:numCache>
                <c:formatCode>#,##0.0</c:formatCode>
                <c:ptCount val="14"/>
                <c:pt idx="0">
                  <c:v>3306.3009999999999</c:v>
                </c:pt>
                <c:pt idx="1">
                  <c:v>7517.1329999999998</c:v>
                </c:pt>
                <c:pt idx="2">
                  <c:v>6568.4470000000001</c:v>
                </c:pt>
                <c:pt idx="3">
                  <c:v>2524.58</c:v>
                </c:pt>
                <c:pt idx="4">
                  <c:v>1745.9839999999999</c:v>
                </c:pt>
                <c:pt idx="5">
                  <c:v>2360.5540000000001</c:v>
                </c:pt>
                <c:pt idx="6">
                  <c:v>7322.9719999999998</c:v>
                </c:pt>
                <c:pt idx="7">
                  <c:v>2732.7860000000001</c:v>
                </c:pt>
                <c:pt idx="8">
                  <c:v>2543.8690000000001</c:v>
                </c:pt>
                <c:pt idx="9">
                  <c:v>7801.0069999999996</c:v>
                </c:pt>
                <c:pt idx="10">
                  <c:v>6892.7219999999998</c:v>
                </c:pt>
                <c:pt idx="11">
                  <c:v>8888.3379999999997</c:v>
                </c:pt>
                <c:pt idx="12">
                  <c:v>7241.6869999999999</c:v>
                </c:pt>
                <c:pt idx="13">
                  <c:v>4931.2449999999999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8231424"/>
        <c:axId val="98232960"/>
      </c:barChart>
      <c:catAx>
        <c:axId val="98231424"/>
        <c:scaling>
          <c:orientation val="maxMin"/>
        </c:scaling>
        <c:delete val="0"/>
        <c:axPos val="l"/>
        <c:majorTickMark val="out"/>
        <c:minorTickMark val="none"/>
        <c:tickLblPos val="nextTo"/>
        <c:crossAx val="98232960"/>
        <c:crosses val="autoZero"/>
        <c:auto val="1"/>
        <c:lblAlgn val="ctr"/>
        <c:lblOffset val="100"/>
        <c:tickLblSkip val="1"/>
        <c:noMultiLvlLbl val="0"/>
      </c:catAx>
      <c:valAx>
        <c:axId val="98232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000 's of tonnes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98231424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in  all species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country'!$C$7:$C$20</c:f>
              <c:numCache>
                <c:formatCode>#,##0.0</c:formatCode>
                <c:ptCount val="14"/>
                <c:pt idx="0">
                  <c:v>1084.1869999999999</c:v>
                </c:pt>
                <c:pt idx="1">
                  <c:v>716.51099999999997</c:v>
                </c:pt>
                <c:pt idx="2">
                  <c:v>1336.0809999999999</c:v>
                </c:pt>
                <c:pt idx="3">
                  <c:v>441.72</c:v>
                </c:pt>
                <c:pt idx="4">
                  <c:v>63.929000000000002</c:v>
                </c:pt>
                <c:pt idx="5">
                  <c:v>42.38</c:v>
                </c:pt>
                <c:pt idx="6">
                  <c:v>342.23200000000003</c:v>
                </c:pt>
                <c:pt idx="7">
                  <c:v>591.37699999999995</c:v>
                </c:pt>
                <c:pt idx="8">
                  <c:v>2340.904</c:v>
                </c:pt>
                <c:pt idx="9">
                  <c:v>2302.98</c:v>
                </c:pt>
                <c:pt idx="10">
                  <c:v>186.92099999999999</c:v>
                </c:pt>
                <c:pt idx="11">
                  <c:v>1473.15</c:v>
                </c:pt>
                <c:pt idx="12">
                  <c:v>804.67</c:v>
                </c:pt>
                <c:pt idx="13">
                  <c:v>962.83799999999997</c:v>
                </c:pt>
              </c:numCache>
            </c:numRef>
          </c:val>
        </c:ser>
        <c:ser>
          <c:idx val="1"/>
          <c:order val="1"/>
          <c:tx>
            <c:strRef>
              <c:f>'Section 7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259.40714080000004</c:v>
                  </c:pt>
                  <c:pt idx="11">
                    <c:v>477.17571400000003</c:v>
                  </c:pt>
                  <c:pt idx="12">
                    <c:v>357.6108984</c:v>
                  </c:pt>
                  <c:pt idx="13">
                    <c:v>220.72424790000002</c:v>
                  </c:pt>
                </c:numCache>
              </c:numRef>
            </c:plus>
            <c:minus>
              <c:numRef>
                <c:f>'Section 7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259.40714080000004</c:v>
                  </c:pt>
                  <c:pt idx="11">
                    <c:v>477.17571400000003</c:v>
                  </c:pt>
                  <c:pt idx="12">
                    <c:v>357.6108984</c:v>
                  </c:pt>
                  <c:pt idx="13">
                    <c:v>220.72424790000002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country'!$D$7:$D$20</c:f>
              <c:numCache>
                <c:formatCode>#,##0.0</c:formatCode>
                <c:ptCount val="14"/>
                <c:pt idx="0">
                  <c:v>5131.335</c:v>
                </c:pt>
                <c:pt idx="1">
                  <c:v>9417.15</c:v>
                </c:pt>
                <c:pt idx="2">
                  <c:v>7854.8249999999998</c:v>
                </c:pt>
                <c:pt idx="3">
                  <c:v>3284.8690000000001</c:v>
                </c:pt>
                <c:pt idx="4">
                  <c:v>1929.6859999999999</c:v>
                </c:pt>
                <c:pt idx="5">
                  <c:v>2638.2449999999999</c:v>
                </c:pt>
                <c:pt idx="6">
                  <c:v>8167.3969999999999</c:v>
                </c:pt>
                <c:pt idx="7">
                  <c:v>3102.527</c:v>
                </c:pt>
                <c:pt idx="8">
                  <c:v>5103.7020000000002</c:v>
                </c:pt>
                <c:pt idx="9">
                  <c:v>9250.0349999999999</c:v>
                </c:pt>
                <c:pt idx="10">
                  <c:v>8449.7440000000006</c:v>
                </c:pt>
                <c:pt idx="11">
                  <c:v>11334.34</c:v>
                </c:pt>
                <c:pt idx="12">
                  <c:v>9122.7270000000008</c:v>
                </c:pt>
                <c:pt idx="13">
                  <c:v>6749.9769999999999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758016"/>
        <c:axId val="114759552"/>
      </c:barChart>
      <c:catAx>
        <c:axId val="114758016"/>
        <c:scaling>
          <c:orientation val="maxMin"/>
        </c:scaling>
        <c:delete val="0"/>
        <c:axPos val="l"/>
        <c:majorTickMark val="out"/>
        <c:minorTickMark val="none"/>
        <c:tickLblPos val="nextTo"/>
        <c:crossAx val="114759552"/>
        <c:crosses val="autoZero"/>
        <c:auto val="1"/>
        <c:lblAlgn val="ctr"/>
        <c:lblOffset val="100"/>
        <c:tickLblSkip val="1"/>
        <c:noMultiLvlLbl val="0"/>
      </c:catAx>
      <c:valAx>
        <c:axId val="114759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000's of tonnes</a:t>
                </a:r>
                <a:endParaRPr lang="en-GB">
                  <a:effectLst/>
                </a:endParaRP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4758016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country'!$C$7:$C$20</c:f>
              <c:numCache>
                <c:formatCode>#,##0.0</c:formatCode>
                <c:ptCount val="14"/>
                <c:pt idx="0">
                  <c:v>1084.1869999999999</c:v>
                </c:pt>
                <c:pt idx="1">
                  <c:v>716.51099999999997</c:v>
                </c:pt>
                <c:pt idx="2">
                  <c:v>1336.0809999999999</c:v>
                </c:pt>
                <c:pt idx="3">
                  <c:v>441.72</c:v>
                </c:pt>
                <c:pt idx="4">
                  <c:v>63.929000000000002</c:v>
                </c:pt>
                <c:pt idx="5">
                  <c:v>42.38</c:v>
                </c:pt>
                <c:pt idx="6">
                  <c:v>342.23200000000003</c:v>
                </c:pt>
                <c:pt idx="7">
                  <c:v>591.37699999999995</c:v>
                </c:pt>
                <c:pt idx="8">
                  <c:v>2340.904</c:v>
                </c:pt>
                <c:pt idx="9">
                  <c:v>2302.98</c:v>
                </c:pt>
                <c:pt idx="10">
                  <c:v>186.92099999999999</c:v>
                </c:pt>
                <c:pt idx="11">
                  <c:v>1473.15</c:v>
                </c:pt>
                <c:pt idx="12">
                  <c:v>804.67</c:v>
                </c:pt>
                <c:pt idx="13">
                  <c:v>962.83799999999997</c:v>
                </c:pt>
              </c:numCache>
            </c:numRef>
          </c:val>
        </c:ser>
        <c:ser>
          <c:idx val="1"/>
          <c:order val="1"/>
          <c:tx>
            <c:strRef>
              <c:f>'Section 7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259.40714080000004</c:v>
                  </c:pt>
                  <c:pt idx="11">
                    <c:v>477.17571400000003</c:v>
                  </c:pt>
                  <c:pt idx="12">
                    <c:v>357.6108984</c:v>
                  </c:pt>
                  <c:pt idx="13">
                    <c:v>220.72424790000002</c:v>
                  </c:pt>
                </c:numCache>
              </c:numRef>
            </c:plus>
            <c:minus>
              <c:numRef>
                <c:f>'Section 7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259.40714080000004</c:v>
                  </c:pt>
                  <c:pt idx="11">
                    <c:v>477.17571400000003</c:v>
                  </c:pt>
                  <c:pt idx="12">
                    <c:v>357.6108984</c:v>
                  </c:pt>
                  <c:pt idx="13">
                    <c:v>220.72424790000002</c:v>
                  </c:pt>
                </c:numCache>
              </c:numRef>
            </c:minus>
          </c:errBars>
          <c:cat>
            <c:strRef>
              <c:f>'Section 7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country'!$D$7:$D$20</c:f>
              <c:numCache>
                <c:formatCode>#,##0.0</c:formatCode>
                <c:ptCount val="14"/>
                <c:pt idx="0">
                  <c:v>5131.335</c:v>
                </c:pt>
                <c:pt idx="1">
                  <c:v>9417.15</c:v>
                </c:pt>
                <c:pt idx="2">
                  <c:v>7854.8249999999998</c:v>
                </c:pt>
                <c:pt idx="3">
                  <c:v>3284.8690000000001</c:v>
                </c:pt>
                <c:pt idx="4">
                  <c:v>1929.6859999999999</c:v>
                </c:pt>
                <c:pt idx="5">
                  <c:v>2638.2449999999999</c:v>
                </c:pt>
                <c:pt idx="6">
                  <c:v>8167.3969999999999</c:v>
                </c:pt>
                <c:pt idx="7">
                  <c:v>3102.527</c:v>
                </c:pt>
                <c:pt idx="8">
                  <c:v>5103.7020000000002</c:v>
                </c:pt>
                <c:pt idx="9">
                  <c:v>9250.0349999999999</c:v>
                </c:pt>
                <c:pt idx="10">
                  <c:v>8449.7440000000006</c:v>
                </c:pt>
                <c:pt idx="11">
                  <c:v>11334.34</c:v>
                </c:pt>
                <c:pt idx="12">
                  <c:v>9122.7270000000008</c:v>
                </c:pt>
                <c:pt idx="13">
                  <c:v>6749.9769999999999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806784"/>
        <c:axId val="114808320"/>
      </c:barChart>
      <c:catAx>
        <c:axId val="114806784"/>
        <c:scaling>
          <c:orientation val="maxMin"/>
        </c:scaling>
        <c:delete val="0"/>
        <c:axPos val="l"/>
        <c:majorTickMark val="out"/>
        <c:minorTickMark val="none"/>
        <c:tickLblPos val="nextTo"/>
        <c:crossAx val="114808320"/>
        <c:crosses val="autoZero"/>
        <c:auto val="1"/>
        <c:lblAlgn val="ctr"/>
        <c:lblOffset val="100"/>
        <c:tickLblSkip val="1"/>
        <c:noMultiLvlLbl val="0"/>
      </c:catAx>
      <c:valAx>
        <c:axId val="114808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000's of tonnes</a:t>
                </a:r>
                <a:endParaRPr lang="en-GB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4806784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Clearfell area </a:t>
            </a:r>
            <a:r>
              <a:rPr lang="en-GB" baseline="0"/>
              <a:t>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country'!$C$27:$C$40</c:f>
              <c:numCache>
                <c:formatCode>#,##0.0</c:formatCode>
                <c:ptCount val="14"/>
                <c:pt idx="0">
                  <c:v>1.17967</c:v>
                </c:pt>
                <c:pt idx="1">
                  <c:v>0.57008999999999999</c:v>
                </c:pt>
                <c:pt idx="2">
                  <c:v>0.68840000000000001</c:v>
                </c:pt>
                <c:pt idx="3">
                  <c:v>0.33438999999999997</c:v>
                </c:pt>
                <c:pt idx="4">
                  <c:v>1.443E-2</c:v>
                </c:pt>
                <c:pt idx="5">
                  <c:v>3.6900000000000001E-3</c:v>
                </c:pt>
                <c:pt idx="6">
                  <c:v>6.0729999999999999E-2</c:v>
                </c:pt>
                <c:pt idx="7">
                  <c:v>0.19596</c:v>
                </c:pt>
                <c:pt idx="8">
                  <c:v>2.3097399999999997</c:v>
                </c:pt>
                <c:pt idx="9">
                  <c:v>0.54664999999999997</c:v>
                </c:pt>
                <c:pt idx="10">
                  <c:v>0.21093999999999999</c:v>
                </c:pt>
                <c:pt idx="11">
                  <c:v>0.21414</c:v>
                </c:pt>
                <c:pt idx="12">
                  <c:v>0.92698000000000003</c:v>
                </c:pt>
                <c:pt idx="13">
                  <c:v>1.2385299999999999</c:v>
                </c:pt>
              </c:numCache>
            </c:numRef>
          </c:val>
        </c:ser>
        <c:ser>
          <c:idx val="1"/>
          <c:order val="1"/>
          <c:tx>
            <c:strRef>
              <c:f>'Section 7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plus>
            <c:minus>
              <c:numRef>
                <c:f>'Section 7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minus>
          </c:errBars>
          <c:cat>
            <c:strRef>
              <c:f>'Section 7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country'!$D$27:$D$40</c:f>
              <c:numCache>
                <c:formatCode>#,##0.0</c:formatCode>
                <c:ptCount val="14"/>
                <c:pt idx="0">
                  <c:v>1.3520699999999999</c:v>
                </c:pt>
                <c:pt idx="1">
                  <c:v>0.81649000000000005</c:v>
                </c:pt>
                <c:pt idx="2">
                  <c:v>0.85301000000000005</c:v>
                </c:pt>
                <c:pt idx="3">
                  <c:v>0.29669999999999996</c:v>
                </c:pt>
                <c:pt idx="4">
                  <c:v>3.2640000000000002E-2</c:v>
                </c:pt>
                <c:pt idx="5">
                  <c:v>0.11069</c:v>
                </c:pt>
                <c:pt idx="6">
                  <c:v>0.78816999999999993</c:v>
                </c:pt>
                <c:pt idx="7">
                  <c:v>0.19735</c:v>
                </c:pt>
                <c:pt idx="8">
                  <c:v>1.63391</c:v>
                </c:pt>
                <c:pt idx="9">
                  <c:v>0.54794000000000009</c:v>
                </c:pt>
                <c:pt idx="10">
                  <c:v>0.76591999999999993</c:v>
                </c:pt>
                <c:pt idx="11">
                  <c:v>0.41102</c:v>
                </c:pt>
                <c:pt idx="12">
                  <c:v>0.36718000000000001</c:v>
                </c:pt>
                <c:pt idx="13">
                  <c:v>1.6702399999999999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7926144"/>
        <c:axId val="97940224"/>
      </c:barChart>
      <c:catAx>
        <c:axId val="97926144"/>
        <c:scaling>
          <c:orientation val="maxMin"/>
        </c:scaling>
        <c:delete val="0"/>
        <c:axPos val="l"/>
        <c:majorTickMark val="out"/>
        <c:minorTickMark val="none"/>
        <c:tickLblPos val="nextTo"/>
        <c:crossAx val="97940224"/>
        <c:crosses val="autoZero"/>
        <c:auto val="1"/>
        <c:lblAlgn val="ctr"/>
        <c:lblOffset val="100"/>
        <c:tickLblSkip val="1"/>
        <c:noMultiLvlLbl val="0"/>
      </c:catAx>
      <c:valAx>
        <c:axId val="97940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97926144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7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7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country'!$C$27:$C$40</c:f>
              <c:numCache>
                <c:formatCode>#,##0.0</c:formatCode>
                <c:ptCount val="14"/>
                <c:pt idx="0">
                  <c:v>1.17967</c:v>
                </c:pt>
                <c:pt idx="1">
                  <c:v>0.57008999999999999</c:v>
                </c:pt>
                <c:pt idx="2">
                  <c:v>0.68840000000000001</c:v>
                </c:pt>
                <c:pt idx="3">
                  <c:v>0.33438999999999997</c:v>
                </c:pt>
                <c:pt idx="4">
                  <c:v>1.443E-2</c:v>
                </c:pt>
                <c:pt idx="5">
                  <c:v>3.6900000000000001E-3</c:v>
                </c:pt>
                <c:pt idx="6">
                  <c:v>6.0729999999999999E-2</c:v>
                </c:pt>
                <c:pt idx="7">
                  <c:v>0.19596</c:v>
                </c:pt>
                <c:pt idx="8">
                  <c:v>2.3097399999999997</c:v>
                </c:pt>
                <c:pt idx="9">
                  <c:v>0.54664999999999997</c:v>
                </c:pt>
                <c:pt idx="10">
                  <c:v>0.21093999999999999</c:v>
                </c:pt>
                <c:pt idx="11">
                  <c:v>0.21414</c:v>
                </c:pt>
                <c:pt idx="12">
                  <c:v>0.92698000000000003</c:v>
                </c:pt>
                <c:pt idx="13">
                  <c:v>1.2385299999999999</c:v>
                </c:pt>
              </c:numCache>
            </c:numRef>
          </c:val>
        </c:ser>
        <c:ser>
          <c:idx val="1"/>
          <c:order val="1"/>
          <c:tx>
            <c:strRef>
              <c:f>'Section 7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7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plus>
            <c:minus>
              <c:numRef>
                <c:f>'Section 7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minus>
          </c:errBars>
          <c:cat>
            <c:strRef>
              <c:f>'Section 7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7 data country'!$D$27:$D$40</c:f>
              <c:numCache>
                <c:formatCode>#,##0.0</c:formatCode>
                <c:ptCount val="14"/>
                <c:pt idx="0">
                  <c:v>1.3520699999999999</c:v>
                </c:pt>
                <c:pt idx="1">
                  <c:v>0.81649000000000005</c:v>
                </c:pt>
                <c:pt idx="2">
                  <c:v>0.85301000000000005</c:v>
                </c:pt>
                <c:pt idx="3">
                  <c:v>0.29669999999999996</c:v>
                </c:pt>
                <c:pt idx="4">
                  <c:v>3.2640000000000002E-2</c:v>
                </c:pt>
                <c:pt idx="5">
                  <c:v>0.11069</c:v>
                </c:pt>
                <c:pt idx="6">
                  <c:v>0.78816999999999993</c:v>
                </c:pt>
                <c:pt idx="7">
                  <c:v>0.19735</c:v>
                </c:pt>
                <c:pt idx="8">
                  <c:v>1.63391</c:v>
                </c:pt>
                <c:pt idx="9">
                  <c:v>0.54794000000000009</c:v>
                </c:pt>
                <c:pt idx="10">
                  <c:v>0.76591999999999993</c:v>
                </c:pt>
                <c:pt idx="11">
                  <c:v>0.41102</c:v>
                </c:pt>
                <c:pt idx="12">
                  <c:v>0.36718000000000001</c:v>
                </c:pt>
                <c:pt idx="13">
                  <c:v>1.6702399999999999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8011776"/>
        <c:axId val="98021760"/>
      </c:barChart>
      <c:catAx>
        <c:axId val="98011776"/>
        <c:scaling>
          <c:orientation val="maxMin"/>
        </c:scaling>
        <c:delete val="0"/>
        <c:axPos val="l"/>
        <c:majorTickMark val="out"/>
        <c:minorTickMark val="none"/>
        <c:tickLblPos val="nextTo"/>
        <c:crossAx val="98021760"/>
        <c:crosses val="autoZero"/>
        <c:auto val="1"/>
        <c:lblAlgn val="ctr"/>
        <c:lblOffset val="100"/>
        <c:tickLblSkip val="1"/>
        <c:noMultiLvlLbl val="0"/>
      </c:catAx>
      <c:valAx>
        <c:axId val="98021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98011776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stocked area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2 data'!$H$8:$H$15</c:f>
              <c:numCache>
                <c:formatCode>#,##0.0</c:formatCode>
                <c:ptCount val="8"/>
                <c:pt idx="0">
                  <c:v>80.267139999999998</c:v>
                </c:pt>
                <c:pt idx="1">
                  <c:v>61.454690000000006</c:v>
                </c:pt>
                <c:pt idx="2">
                  <c:v>40.500339999999994</c:v>
                </c:pt>
                <c:pt idx="3">
                  <c:v>26.790880000000001</c:v>
                </c:pt>
                <c:pt idx="4">
                  <c:v>40.242220000000003</c:v>
                </c:pt>
                <c:pt idx="5">
                  <c:v>24.434480000000001</c:v>
                </c:pt>
                <c:pt idx="6">
                  <c:v>7.6952600000000011</c:v>
                </c:pt>
                <c:pt idx="7">
                  <c:v>23.419899999999998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2 data'!$H$8:$H$15</c:f>
              <c:numCache>
                <c:formatCode>#,##0.0</c:formatCode>
                <c:ptCount val="8"/>
                <c:pt idx="0">
                  <c:v>80.267139999999998</c:v>
                </c:pt>
                <c:pt idx="1">
                  <c:v>61.454690000000006</c:v>
                </c:pt>
                <c:pt idx="2">
                  <c:v>40.500339999999994</c:v>
                </c:pt>
                <c:pt idx="3">
                  <c:v>26.790880000000001</c:v>
                </c:pt>
                <c:pt idx="4">
                  <c:v>40.242220000000003</c:v>
                </c:pt>
                <c:pt idx="5">
                  <c:v>24.434480000000001</c:v>
                </c:pt>
                <c:pt idx="6">
                  <c:v>7.6952600000000011</c:v>
                </c:pt>
                <c:pt idx="7">
                  <c:v>23.419899999999998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stocked area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2 data'!$H$16:$H$26</c:f>
              <c:numCache>
                <c:formatCode>#,##0.0</c:formatCode>
                <c:ptCount val="11"/>
                <c:pt idx="0">
                  <c:v>166.40674000000001</c:v>
                </c:pt>
                <c:pt idx="1">
                  <c:v>70.313819999999993</c:v>
                </c:pt>
                <c:pt idx="2">
                  <c:v>75.560929999999999</c:v>
                </c:pt>
                <c:pt idx="3">
                  <c:v>120.56268</c:v>
                </c:pt>
                <c:pt idx="4">
                  <c:v>95.461369999999988</c:v>
                </c:pt>
                <c:pt idx="5">
                  <c:v>30.104410000000005</c:v>
                </c:pt>
                <c:pt idx="6">
                  <c:v>62.777680000000004</c:v>
                </c:pt>
                <c:pt idx="7">
                  <c:v>55.825159999999997</c:v>
                </c:pt>
                <c:pt idx="8">
                  <c:v>30.572570000000006</c:v>
                </c:pt>
                <c:pt idx="9">
                  <c:v>40.307030000000005</c:v>
                </c:pt>
                <c:pt idx="10">
                  <c:v>143.68333999999999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2 data'!$H$16:$H$26</c:f>
              <c:numCache>
                <c:formatCode>#,##0.0</c:formatCode>
                <c:ptCount val="11"/>
                <c:pt idx="0">
                  <c:v>166.40674000000001</c:v>
                </c:pt>
                <c:pt idx="1">
                  <c:v>70.313819999999993</c:v>
                </c:pt>
                <c:pt idx="2">
                  <c:v>75.560929999999999</c:v>
                </c:pt>
                <c:pt idx="3">
                  <c:v>120.56268</c:v>
                </c:pt>
                <c:pt idx="4">
                  <c:v>95.461369999999988</c:v>
                </c:pt>
                <c:pt idx="5">
                  <c:v>30.104410000000005</c:v>
                </c:pt>
                <c:pt idx="6">
                  <c:v>62.777680000000004</c:v>
                </c:pt>
                <c:pt idx="7">
                  <c:v>55.825159999999997</c:v>
                </c:pt>
                <c:pt idx="8">
                  <c:v>30.572570000000006</c:v>
                </c:pt>
                <c:pt idx="9">
                  <c:v>40.307030000000005</c:v>
                </c:pt>
                <c:pt idx="10">
                  <c:v>143.68333999999999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Stocked area of</a:t>
            </a:r>
            <a:r>
              <a:rPr lang="en-GB" baseline="0"/>
              <a:t> all conifers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country'!$G$7:$G$20</c:f>
              <c:numCache>
                <c:formatCode>#,##0.0</c:formatCode>
                <c:ptCount val="14"/>
                <c:pt idx="0">
                  <c:v>13.633100000000001</c:v>
                </c:pt>
                <c:pt idx="1">
                  <c:v>8.0540900000000004</c:v>
                </c:pt>
                <c:pt idx="2">
                  <c:v>17.605900000000002</c:v>
                </c:pt>
                <c:pt idx="3">
                  <c:v>4.7160200000000003</c:v>
                </c:pt>
                <c:pt idx="4">
                  <c:v>0.58132000000000006</c:v>
                </c:pt>
                <c:pt idx="5">
                  <c:v>0.22287000000000001</c:v>
                </c:pt>
                <c:pt idx="6">
                  <c:v>2.5344600000000002</c:v>
                </c:pt>
                <c:pt idx="7">
                  <c:v>3.00421</c:v>
                </c:pt>
                <c:pt idx="8">
                  <c:v>37.577539999999999</c:v>
                </c:pt>
                <c:pt idx="9">
                  <c:v>7.6618399999999998</c:v>
                </c:pt>
                <c:pt idx="10">
                  <c:v>1.1405399999999999</c:v>
                </c:pt>
                <c:pt idx="11">
                  <c:v>6.0478100000000001</c:v>
                </c:pt>
                <c:pt idx="12">
                  <c:v>11.581440000000001</c:v>
                </c:pt>
                <c:pt idx="13">
                  <c:v>13.151479999999999</c:v>
                </c:pt>
              </c:numCache>
            </c:numRef>
          </c:val>
        </c:ser>
        <c:ser>
          <c:idx val="1"/>
          <c:order val="1"/>
          <c:tx>
            <c:strRef>
              <c:f>'Section 2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country'!$Q$7:$Q$20</c:f>
                <c:numCache>
                  <c:formatCode>General</c:formatCode>
                  <c:ptCount val="14"/>
                  <c:pt idx="0">
                    <c:v>1.0056128100000001</c:v>
                  </c:pt>
                  <c:pt idx="1">
                    <c:v>0.91767696400000021</c:v>
                  </c:pt>
                  <c:pt idx="2">
                    <c:v>1.1195666</c:v>
                  </c:pt>
                  <c:pt idx="3">
                    <c:v>0.76568169999999991</c:v>
                  </c:pt>
                  <c:pt idx="4">
                    <c:v>0.40841351199999998</c:v>
                  </c:pt>
                  <c:pt idx="5">
                    <c:v>0.49443767100000002</c:v>
                  </c:pt>
                  <c:pt idx="6">
                    <c:v>0.65920842000000013</c:v>
                  </c:pt>
                  <c:pt idx="7">
                    <c:v>0.65262637700000004</c:v>
                  </c:pt>
                  <c:pt idx="8">
                    <c:v>1.3977624360000001</c:v>
                  </c:pt>
                  <c:pt idx="9">
                    <c:v>0.69747221699999984</c:v>
                  </c:pt>
                  <c:pt idx="10">
                    <c:v>0.83052614999999985</c:v>
                  </c:pt>
                  <c:pt idx="11">
                    <c:v>0.77836640999999995</c:v>
                  </c:pt>
                  <c:pt idx="12">
                    <c:v>1.1542439999999998</c:v>
                  </c:pt>
                  <c:pt idx="13">
                    <c:v>0.78826667499999981</c:v>
                  </c:pt>
                </c:numCache>
              </c:numRef>
            </c:plus>
            <c:minus>
              <c:numRef>
                <c:f>'Section 2 data country'!$Q$7:$Q$20</c:f>
                <c:numCache>
                  <c:formatCode>General</c:formatCode>
                  <c:ptCount val="14"/>
                  <c:pt idx="0">
                    <c:v>1.0056128100000001</c:v>
                  </c:pt>
                  <c:pt idx="1">
                    <c:v>0.91767696400000021</c:v>
                  </c:pt>
                  <c:pt idx="2">
                    <c:v>1.1195666</c:v>
                  </c:pt>
                  <c:pt idx="3">
                    <c:v>0.76568169999999991</c:v>
                  </c:pt>
                  <c:pt idx="4">
                    <c:v>0.40841351199999998</c:v>
                  </c:pt>
                  <c:pt idx="5">
                    <c:v>0.49443767100000002</c:v>
                  </c:pt>
                  <c:pt idx="6">
                    <c:v>0.65920842000000013</c:v>
                  </c:pt>
                  <c:pt idx="7">
                    <c:v>0.65262637700000004</c:v>
                  </c:pt>
                  <c:pt idx="8">
                    <c:v>1.3977624360000001</c:v>
                  </c:pt>
                  <c:pt idx="9">
                    <c:v>0.69747221699999984</c:v>
                  </c:pt>
                  <c:pt idx="10">
                    <c:v>0.83052614999999985</c:v>
                  </c:pt>
                  <c:pt idx="11">
                    <c:v>0.77836640999999995</c:v>
                  </c:pt>
                  <c:pt idx="12">
                    <c:v>1.1542439999999998</c:v>
                  </c:pt>
                  <c:pt idx="13">
                    <c:v>0.78826667499999981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country'!$H$7:$H$20</c:f>
              <c:numCache>
                <c:formatCode>#,##0.0</c:formatCode>
                <c:ptCount val="14"/>
                <c:pt idx="0">
                  <c:v>17.642330000000001</c:v>
                </c:pt>
                <c:pt idx="1">
                  <c:v>16.745930000000001</c:v>
                </c:pt>
                <c:pt idx="2">
                  <c:v>15.72425</c:v>
                </c:pt>
                <c:pt idx="3">
                  <c:v>7.3907499999999997</c:v>
                </c:pt>
                <c:pt idx="4">
                  <c:v>2.0668699999999998</c:v>
                </c:pt>
                <c:pt idx="5">
                  <c:v>2.8965300000000003</c:v>
                </c:pt>
                <c:pt idx="6">
                  <c:v>7.7100400000000002</c:v>
                </c:pt>
                <c:pt idx="7">
                  <c:v>5.1026300000000004</c:v>
                </c:pt>
                <c:pt idx="8">
                  <c:v>23.771470000000001</c:v>
                </c:pt>
                <c:pt idx="9">
                  <c:v>13.135069999999999</c:v>
                </c:pt>
                <c:pt idx="10">
                  <c:v>14.0055</c:v>
                </c:pt>
                <c:pt idx="11">
                  <c:v>14.57615</c:v>
                </c:pt>
                <c:pt idx="12">
                  <c:v>18.497499999999999</c:v>
                </c:pt>
                <c:pt idx="13">
                  <c:v>18.289249999999999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04416"/>
        <c:axId val="27805952"/>
      </c:barChart>
      <c:catAx>
        <c:axId val="27804416"/>
        <c:scaling>
          <c:orientation val="maxMin"/>
        </c:scaling>
        <c:delete val="0"/>
        <c:axPos val="l"/>
        <c:majorTickMark val="out"/>
        <c:minorTickMark val="none"/>
        <c:tickLblPos val="nextTo"/>
        <c:crossAx val="27805952"/>
        <c:crosses val="autoZero"/>
        <c:auto val="1"/>
        <c:lblAlgn val="ctr"/>
        <c:lblOffset val="100"/>
        <c:tickLblSkip val="1"/>
        <c:noMultiLvlLbl val="0"/>
      </c:catAx>
      <c:valAx>
        <c:axId val="27805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78044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by ownership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2'!$B$7:$B$8</c:f>
              <c:strCache>
                <c:ptCount val="2"/>
                <c:pt idx="0">
                  <c:v>Forestry Commission</c:v>
                </c:pt>
                <c:pt idx="1">
                  <c:v>Other ownership</c:v>
                </c:pt>
              </c:strCache>
            </c:strRef>
          </c:cat>
          <c:val>
            <c:numRef>
              <c:f>'Table 2'!$C$7:$C$8</c:f>
              <c:numCache>
                <c:formatCode>#,##0</c:formatCode>
                <c:ptCount val="2"/>
                <c:pt idx="0">
                  <c:v>214420.32243478103</c:v>
                </c:pt>
                <c:pt idx="1">
                  <c:v>1083245.265327197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country'!$G$7:$G$20</c:f>
              <c:numCache>
                <c:formatCode>#,##0.0</c:formatCode>
                <c:ptCount val="14"/>
                <c:pt idx="0">
                  <c:v>13.633100000000001</c:v>
                </c:pt>
                <c:pt idx="1">
                  <c:v>8.0540900000000004</c:v>
                </c:pt>
                <c:pt idx="2">
                  <c:v>17.605900000000002</c:v>
                </c:pt>
                <c:pt idx="3">
                  <c:v>4.7160200000000003</c:v>
                </c:pt>
                <c:pt idx="4">
                  <c:v>0.58132000000000006</c:v>
                </c:pt>
                <c:pt idx="5">
                  <c:v>0.22287000000000001</c:v>
                </c:pt>
                <c:pt idx="6">
                  <c:v>2.5344600000000002</c:v>
                </c:pt>
                <c:pt idx="7">
                  <c:v>3.00421</c:v>
                </c:pt>
                <c:pt idx="8">
                  <c:v>37.577539999999999</c:v>
                </c:pt>
                <c:pt idx="9">
                  <c:v>7.6618399999999998</c:v>
                </c:pt>
                <c:pt idx="10">
                  <c:v>1.1405399999999999</c:v>
                </c:pt>
                <c:pt idx="11">
                  <c:v>6.0478100000000001</c:v>
                </c:pt>
                <c:pt idx="12">
                  <c:v>11.581440000000001</c:v>
                </c:pt>
                <c:pt idx="13">
                  <c:v>13.151479999999999</c:v>
                </c:pt>
              </c:numCache>
            </c:numRef>
          </c:val>
        </c:ser>
        <c:ser>
          <c:idx val="1"/>
          <c:order val="1"/>
          <c:tx>
            <c:strRef>
              <c:f>'Section 2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country'!$Q$7:$Q$20</c:f>
                <c:numCache>
                  <c:formatCode>General</c:formatCode>
                  <c:ptCount val="14"/>
                  <c:pt idx="0">
                    <c:v>1.0056128100000001</c:v>
                  </c:pt>
                  <c:pt idx="1">
                    <c:v>0.91767696400000021</c:v>
                  </c:pt>
                  <c:pt idx="2">
                    <c:v>1.1195666</c:v>
                  </c:pt>
                  <c:pt idx="3">
                    <c:v>0.76568169999999991</c:v>
                  </c:pt>
                  <c:pt idx="4">
                    <c:v>0.40841351199999998</c:v>
                  </c:pt>
                  <c:pt idx="5">
                    <c:v>0.49443767100000002</c:v>
                  </c:pt>
                  <c:pt idx="6">
                    <c:v>0.65920842000000013</c:v>
                  </c:pt>
                  <c:pt idx="7">
                    <c:v>0.65262637700000004</c:v>
                  </c:pt>
                  <c:pt idx="8">
                    <c:v>1.3977624360000001</c:v>
                  </c:pt>
                  <c:pt idx="9">
                    <c:v>0.69747221699999984</c:v>
                  </c:pt>
                  <c:pt idx="10">
                    <c:v>0.83052614999999985</c:v>
                  </c:pt>
                  <c:pt idx="11">
                    <c:v>0.77836640999999995</c:v>
                  </c:pt>
                  <c:pt idx="12">
                    <c:v>1.1542439999999998</c:v>
                  </c:pt>
                  <c:pt idx="13">
                    <c:v>0.78826667499999981</c:v>
                  </c:pt>
                </c:numCache>
              </c:numRef>
            </c:plus>
            <c:minus>
              <c:numRef>
                <c:f>'Section 2 data country'!$Q$7:$Q$20</c:f>
                <c:numCache>
                  <c:formatCode>General</c:formatCode>
                  <c:ptCount val="14"/>
                  <c:pt idx="0">
                    <c:v>1.0056128100000001</c:v>
                  </c:pt>
                  <c:pt idx="1">
                    <c:v>0.91767696400000021</c:v>
                  </c:pt>
                  <c:pt idx="2">
                    <c:v>1.1195666</c:v>
                  </c:pt>
                  <c:pt idx="3">
                    <c:v>0.76568169999999991</c:v>
                  </c:pt>
                  <c:pt idx="4">
                    <c:v>0.40841351199999998</c:v>
                  </c:pt>
                  <c:pt idx="5">
                    <c:v>0.49443767100000002</c:v>
                  </c:pt>
                  <c:pt idx="6">
                    <c:v>0.65920842000000013</c:v>
                  </c:pt>
                  <c:pt idx="7">
                    <c:v>0.65262637700000004</c:v>
                  </c:pt>
                  <c:pt idx="8">
                    <c:v>1.3977624360000001</c:v>
                  </c:pt>
                  <c:pt idx="9">
                    <c:v>0.69747221699999984</c:v>
                  </c:pt>
                  <c:pt idx="10">
                    <c:v>0.83052614999999985</c:v>
                  </c:pt>
                  <c:pt idx="11">
                    <c:v>0.77836640999999995</c:v>
                  </c:pt>
                  <c:pt idx="12">
                    <c:v>1.1542439999999998</c:v>
                  </c:pt>
                  <c:pt idx="13">
                    <c:v>0.78826667499999981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country'!$H$7:$H$20</c:f>
              <c:numCache>
                <c:formatCode>#,##0.0</c:formatCode>
                <c:ptCount val="14"/>
                <c:pt idx="0">
                  <c:v>17.642330000000001</c:v>
                </c:pt>
                <c:pt idx="1">
                  <c:v>16.745930000000001</c:v>
                </c:pt>
                <c:pt idx="2">
                  <c:v>15.72425</c:v>
                </c:pt>
                <c:pt idx="3">
                  <c:v>7.3907499999999997</c:v>
                </c:pt>
                <c:pt idx="4">
                  <c:v>2.0668699999999998</c:v>
                </c:pt>
                <c:pt idx="5">
                  <c:v>2.8965300000000003</c:v>
                </c:pt>
                <c:pt idx="6">
                  <c:v>7.7100400000000002</c:v>
                </c:pt>
                <c:pt idx="7">
                  <c:v>5.1026300000000004</c:v>
                </c:pt>
                <c:pt idx="8">
                  <c:v>23.771470000000001</c:v>
                </c:pt>
                <c:pt idx="9">
                  <c:v>13.135069999999999</c:v>
                </c:pt>
                <c:pt idx="10">
                  <c:v>14.0055</c:v>
                </c:pt>
                <c:pt idx="11">
                  <c:v>14.57615</c:v>
                </c:pt>
                <c:pt idx="12">
                  <c:v>18.497499999999999</c:v>
                </c:pt>
                <c:pt idx="13">
                  <c:v>18.289249999999999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369856"/>
        <c:axId val="27371392"/>
      </c:barChart>
      <c:catAx>
        <c:axId val="2736985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371392"/>
        <c:crosses val="autoZero"/>
        <c:auto val="1"/>
        <c:lblAlgn val="ctr"/>
        <c:lblOffset val="100"/>
        <c:tickLblSkip val="1"/>
        <c:noMultiLvlLbl val="0"/>
      </c:catAx>
      <c:valAx>
        <c:axId val="27371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36985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Stocked area of</a:t>
            </a:r>
            <a:r>
              <a:rPr lang="en-GB" baseline="0"/>
              <a:t> all broadleaves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country'!$K$7:$K$20</c:f>
              <c:numCache>
                <c:formatCode>#,##0.0</c:formatCode>
                <c:ptCount val="14"/>
                <c:pt idx="0">
                  <c:v>2.7056399999999998</c:v>
                </c:pt>
                <c:pt idx="1">
                  <c:v>2.2127600000000003</c:v>
                </c:pt>
                <c:pt idx="2">
                  <c:v>4.1018500000000007</c:v>
                </c:pt>
                <c:pt idx="3">
                  <c:v>2.0144700000000002</c:v>
                </c:pt>
                <c:pt idx="4">
                  <c:v>0.63409000000000004</c:v>
                </c:pt>
                <c:pt idx="5">
                  <c:v>0.50458000000000003</c:v>
                </c:pt>
                <c:pt idx="6">
                  <c:v>2.83935</c:v>
                </c:pt>
                <c:pt idx="7">
                  <c:v>5.6926099999999993</c:v>
                </c:pt>
                <c:pt idx="8">
                  <c:v>2.5495999999999999</c:v>
                </c:pt>
                <c:pt idx="9">
                  <c:v>13.469959999999999</c:v>
                </c:pt>
                <c:pt idx="10">
                  <c:v>1.42235</c:v>
                </c:pt>
                <c:pt idx="11">
                  <c:v>4.7088700000000001</c:v>
                </c:pt>
                <c:pt idx="12">
                  <c:v>7.87758</c:v>
                </c:pt>
                <c:pt idx="13">
                  <c:v>2.9271400000000001</c:v>
                </c:pt>
              </c:numCache>
            </c:numRef>
          </c:val>
        </c:ser>
        <c:ser>
          <c:idx val="1"/>
          <c:order val="1"/>
          <c:tx>
            <c:strRef>
              <c:f>'Section 2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country'!$R$7:$R$20</c:f>
                <c:numCache>
                  <c:formatCode>General</c:formatCode>
                  <c:ptCount val="14"/>
                  <c:pt idx="0">
                    <c:v>1.167356668</c:v>
                  </c:pt>
                  <c:pt idx="1">
                    <c:v>1.9401877159999998</c:v>
                  </c:pt>
                  <c:pt idx="2">
                    <c:v>1.7611693329999998</c:v>
                  </c:pt>
                  <c:pt idx="3">
                    <c:v>1.085424653</c:v>
                  </c:pt>
                  <c:pt idx="4">
                    <c:v>4.102001928</c:v>
                  </c:pt>
                  <c:pt idx="5">
                    <c:v>0.79225865200000001</c:v>
                  </c:pt>
                  <c:pt idx="6">
                    <c:v>2.6217982639999997</c:v>
                  </c:pt>
                  <c:pt idx="7">
                    <c:v>0.90598100000000004</c:v>
                  </c:pt>
                  <c:pt idx="8">
                    <c:v>1.6422226719999999</c:v>
                  </c:pt>
                  <c:pt idx="9">
                    <c:v>1.526532929</c:v>
                  </c:pt>
                  <c:pt idx="10">
                    <c:v>1.0896702089999999</c:v>
                  </c:pt>
                  <c:pt idx="11">
                    <c:v>1.5744713920000002</c:v>
                  </c:pt>
                  <c:pt idx="12">
                    <c:v>1.740725217</c:v>
                  </c:pt>
                  <c:pt idx="13">
                    <c:v>1.4813617940000001</c:v>
                  </c:pt>
                </c:numCache>
              </c:numRef>
            </c:plus>
            <c:minus>
              <c:numRef>
                <c:f>'Section 2 data country'!$R$7:$R$20</c:f>
                <c:numCache>
                  <c:formatCode>General</c:formatCode>
                  <c:ptCount val="14"/>
                  <c:pt idx="0">
                    <c:v>1.167356668</c:v>
                  </c:pt>
                  <c:pt idx="1">
                    <c:v>1.9401877159999998</c:v>
                  </c:pt>
                  <c:pt idx="2">
                    <c:v>1.7611693329999998</c:v>
                  </c:pt>
                  <c:pt idx="3">
                    <c:v>1.085424653</c:v>
                  </c:pt>
                  <c:pt idx="4">
                    <c:v>4.102001928</c:v>
                  </c:pt>
                  <c:pt idx="5">
                    <c:v>0.79225865200000001</c:v>
                  </c:pt>
                  <c:pt idx="6">
                    <c:v>2.6217982639999997</c:v>
                  </c:pt>
                  <c:pt idx="7">
                    <c:v>0.90598100000000004</c:v>
                  </c:pt>
                  <c:pt idx="8">
                    <c:v>1.6422226719999999</c:v>
                  </c:pt>
                  <c:pt idx="9">
                    <c:v>1.526532929</c:v>
                  </c:pt>
                  <c:pt idx="10">
                    <c:v>1.0896702089999999</c:v>
                  </c:pt>
                  <c:pt idx="11">
                    <c:v>1.5744713920000002</c:v>
                  </c:pt>
                  <c:pt idx="12">
                    <c:v>1.740725217</c:v>
                  </c:pt>
                  <c:pt idx="13">
                    <c:v>1.4813617940000001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country'!$L$7:$L$20</c:f>
              <c:numCache>
                <c:formatCode>#,##0.0</c:formatCode>
                <c:ptCount val="14"/>
                <c:pt idx="0">
                  <c:v>42.14284</c:v>
                </c:pt>
                <c:pt idx="1">
                  <c:v>79.515889999999999</c:v>
                </c:pt>
                <c:pt idx="2">
                  <c:v>86.757109999999997</c:v>
                </c:pt>
                <c:pt idx="3">
                  <c:v>37.045209999999997</c:v>
                </c:pt>
                <c:pt idx="4">
                  <c:v>23.61544</c:v>
                </c:pt>
                <c:pt idx="5">
                  <c:v>29.561889999999998</c:v>
                </c:pt>
                <c:pt idx="6">
                  <c:v>83.496759999999995</c:v>
                </c:pt>
                <c:pt idx="7">
                  <c:v>33.064999999999998</c:v>
                </c:pt>
                <c:pt idx="8">
                  <c:v>36.332360000000001</c:v>
                </c:pt>
                <c:pt idx="9">
                  <c:v>79.923190000000005</c:v>
                </c:pt>
                <c:pt idx="10">
                  <c:v>72.163589999999999</c:v>
                </c:pt>
                <c:pt idx="11">
                  <c:v>75.695740000000001</c:v>
                </c:pt>
                <c:pt idx="12">
                  <c:v>93.086910000000003</c:v>
                </c:pt>
                <c:pt idx="13">
                  <c:v>66.428780000000003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889024"/>
        <c:axId val="27534464"/>
      </c:barChart>
      <c:catAx>
        <c:axId val="27889024"/>
        <c:scaling>
          <c:orientation val="maxMin"/>
        </c:scaling>
        <c:delete val="0"/>
        <c:axPos val="l"/>
        <c:majorTickMark val="out"/>
        <c:minorTickMark val="none"/>
        <c:tickLblPos val="nextTo"/>
        <c:crossAx val="27534464"/>
        <c:crosses val="autoZero"/>
        <c:auto val="1"/>
        <c:lblAlgn val="ctr"/>
        <c:lblOffset val="100"/>
        <c:tickLblSkip val="1"/>
        <c:noMultiLvlLbl val="0"/>
      </c:catAx>
      <c:valAx>
        <c:axId val="27534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78890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country'!$K$7:$K$20</c:f>
              <c:numCache>
                <c:formatCode>#,##0.0</c:formatCode>
                <c:ptCount val="14"/>
                <c:pt idx="0">
                  <c:v>2.7056399999999998</c:v>
                </c:pt>
                <c:pt idx="1">
                  <c:v>2.2127600000000003</c:v>
                </c:pt>
                <c:pt idx="2">
                  <c:v>4.1018500000000007</c:v>
                </c:pt>
                <c:pt idx="3">
                  <c:v>2.0144700000000002</c:v>
                </c:pt>
                <c:pt idx="4">
                  <c:v>0.63409000000000004</c:v>
                </c:pt>
                <c:pt idx="5">
                  <c:v>0.50458000000000003</c:v>
                </c:pt>
                <c:pt idx="6">
                  <c:v>2.83935</c:v>
                </c:pt>
                <c:pt idx="7">
                  <c:v>5.6926099999999993</c:v>
                </c:pt>
                <c:pt idx="8">
                  <c:v>2.5495999999999999</c:v>
                </c:pt>
                <c:pt idx="9">
                  <c:v>13.469959999999999</c:v>
                </c:pt>
                <c:pt idx="10">
                  <c:v>1.42235</c:v>
                </c:pt>
                <c:pt idx="11">
                  <c:v>4.7088700000000001</c:v>
                </c:pt>
                <c:pt idx="12">
                  <c:v>7.87758</c:v>
                </c:pt>
                <c:pt idx="13">
                  <c:v>2.9271400000000001</c:v>
                </c:pt>
              </c:numCache>
            </c:numRef>
          </c:val>
        </c:ser>
        <c:ser>
          <c:idx val="1"/>
          <c:order val="1"/>
          <c:tx>
            <c:strRef>
              <c:f>'Section 2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country'!$R$7:$R$20</c:f>
                <c:numCache>
                  <c:formatCode>General</c:formatCode>
                  <c:ptCount val="14"/>
                  <c:pt idx="0">
                    <c:v>1.167356668</c:v>
                  </c:pt>
                  <c:pt idx="1">
                    <c:v>1.9401877159999998</c:v>
                  </c:pt>
                  <c:pt idx="2">
                    <c:v>1.7611693329999998</c:v>
                  </c:pt>
                  <c:pt idx="3">
                    <c:v>1.085424653</c:v>
                  </c:pt>
                  <c:pt idx="4">
                    <c:v>4.102001928</c:v>
                  </c:pt>
                  <c:pt idx="5">
                    <c:v>0.79225865200000001</c:v>
                  </c:pt>
                  <c:pt idx="6">
                    <c:v>2.6217982639999997</c:v>
                  </c:pt>
                  <c:pt idx="7">
                    <c:v>0.90598100000000004</c:v>
                  </c:pt>
                  <c:pt idx="8">
                    <c:v>1.6422226719999999</c:v>
                  </c:pt>
                  <c:pt idx="9">
                    <c:v>1.526532929</c:v>
                  </c:pt>
                  <c:pt idx="10">
                    <c:v>1.0896702089999999</c:v>
                  </c:pt>
                  <c:pt idx="11">
                    <c:v>1.5744713920000002</c:v>
                  </c:pt>
                  <c:pt idx="12">
                    <c:v>1.740725217</c:v>
                  </c:pt>
                  <c:pt idx="13">
                    <c:v>1.4813617940000001</c:v>
                  </c:pt>
                </c:numCache>
              </c:numRef>
            </c:plus>
            <c:minus>
              <c:numRef>
                <c:f>'Section 2 data country'!$R$7:$R$20</c:f>
                <c:numCache>
                  <c:formatCode>General</c:formatCode>
                  <c:ptCount val="14"/>
                  <c:pt idx="0">
                    <c:v>1.167356668</c:v>
                  </c:pt>
                  <c:pt idx="1">
                    <c:v>1.9401877159999998</c:v>
                  </c:pt>
                  <c:pt idx="2">
                    <c:v>1.7611693329999998</c:v>
                  </c:pt>
                  <c:pt idx="3">
                    <c:v>1.085424653</c:v>
                  </c:pt>
                  <c:pt idx="4">
                    <c:v>4.102001928</c:v>
                  </c:pt>
                  <c:pt idx="5">
                    <c:v>0.79225865200000001</c:v>
                  </c:pt>
                  <c:pt idx="6">
                    <c:v>2.6217982639999997</c:v>
                  </c:pt>
                  <c:pt idx="7">
                    <c:v>0.90598100000000004</c:v>
                  </c:pt>
                  <c:pt idx="8">
                    <c:v>1.6422226719999999</c:v>
                  </c:pt>
                  <c:pt idx="9">
                    <c:v>1.526532929</c:v>
                  </c:pt>
                  <c:pt idx="10">
                    <c:v>1.0896702089999999</c:v>
                  </c:pt>
                  <c:pt idx="11">
                    <c:v>1.5744713920000002</c:v>
                  </c:pt>
                  <c:pt idx="12">
                    <c:v>1.740725217</c:v>
                  </c:pt>
                  <c:pt idx="13">
                    <c:v>1.4813617940000001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country'!$L$7:$L$20</c:f>
              <c:numCache>
                <c:formatCode>#,##0.0</c:formatCode>
                <c:ptCount val="14"/>
                <c:pt idx="0">
                  <c:v>42.14284</c:v>
                </c:pt>
                <c:pt idx="1">
                  <c:v>79.515889999999999</c:v>
                </c:pt>
                <c:pt idx="2">
                  <c:v>86.757109999999997</c:v>
                </c:pt>
                <c:pt idx="3">
                  <c:v>37.045209999999997</c:v>
                </c:pt>
                <c:pt idx="4">
                  <c:v>23.61544</c:v>
                </c:pt>
                <c:pt idx="5">
                  <c:v>29.561889999999998</c:v>
                </c:pt>
                <c:pt idx="6">
                  <c:v>83.496759999999995</c:v>
                </c:pt>
                <c:pt idx="7">
                  <c:v>33.064999999999998</c:v>
                </c:pt>
                <c:pt idx="8">
                  <c:v>36.332360000000001</c:v>
                </c:pt>
                <c:pt idx="9">
                  <c:v>79.923190000000005</c:v>
                </c:pt>
                <c:pt idx="10">
                  <c:v>72.163589999999999</c:v>
                </c:pt>
                <c:pt idx="11">
                  <c:v>75.695740000000001</c:v>
                </c:pt>
                <c:pt idx="12">
                  <c:v>93.086910000000003</c:v>
                </c:pt>
                <c:pt idx="13">
                  <c:v>66.428780000000003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585536"/>
        <c:axId val="27587328"/>
      </c:barChart>
      <c:catAx>
        <c:axId val="275855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587328"/>
        <c:crosses val="autoZero"/>
        <c:auto val="1"/>
        <c:lblAlgn val="ctr"/>
        <c:lblOffset val="100"/>
        <c:tickLblSkip val="1"/>
        <c:noMultiLvlLbl val="0"/>
      </c:catAx>
      <c:valAx>
        <c:axId val="27587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58553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Stocked area of</a:t>
            </a:r>
            <a:r>
              <a:rPr lang="en-GB" baseline="0"/>
              <a:t> all species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country'!$C$7:$C$20</c:f>
              <c:numCache>
                <c:formatCode>#,##0.0</c:formatCode>
                <c:ptCount val="14"/>
                <c:pt idx="0">
                  <c:v>16.338729999999998</c:v>
                </c:pt>
                <c:pt idx="1">
                  <c:v>10.266860000000001</c:v>
                </c:pt>
                <c:pt idx="2">
                  <c:v>21.707750000000001</c:v>
                </c:pt>
                <c:pt idx="3">
                  <c:v>6.7304899999999996</c:v>
                </c:pt>
                <c:pt idx="4">
                  <c:v>1.2154100000000001</c:v>
                </c:pt>
                <c:pt idx="5">
                  <c:v>0.72744000000000009</c:v>
                </c:pt>
                <c:pt idx="6">
                  <c:v>5.3738100000000006</c:v>
                </c:pt>
                <c:pt idx="7">
                  <c:v>8.6968199999999989</c:v>
                </c:pt>
                <c:pt idx="8">
                  <c:v>40.127139999999997</c:v>
                </c:pt>
                <c:pt idx="9">
                  <c:v>21.131790000000002</c:v>
                </c:pt>
                <c:pt idx="10">
                  <c:v>2.5629</c:v>
                </c:pt>
                <c:pt idx="11">
                  <c:v>10.756680000000001</c:v>
                </c:pt>
                <c:pt idx="12">
                  <c:v>19.459019999999999</c:v>
                </c:pt>
                <c:pt idx="13">
                  <c:v>16.078620000000001</c:v>
                </c:pt>
              </c:numCache>
            </c:numRef>
          </c:val>
        </c:ser>
        <c:ser>
          <c:idx val="1"/>
          <c:order val="1"/>
          <c:tx>
            <c:strRef>
              <c:f>'Section 2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country'!$P$7:$P$20</c:f>
                <c:numCache>
                  <c:formatCode>General</c:formatCode>
                  <c:ptCount val="14"/>
                  <c:pt idx="0">
                    <c:v>1.0168735299999998</c:v>
                  </c:pt>
                  <c:pt idx="1">
                    <c:v>1.9281920000000001</c:v>
                  </c:pt>
                  <c:pt idx="2">
                    <c:v>1.476362736</c:v>
                  </c:pt>
                  <c:pt idx="3">
                    <c:v>0.80429105700000003</c:v>
                  </c:pt>
                  <c:pt idx="4">
                    <c:v>4.1066013689999998</c:v>
                  </c:pt>
                  <c:pt idx="5">
                    <c:v>0.61670978999999992</c:v>
                  </c:pt>
                  <c:pt idx="6">
                    <c:v>2.5909376799999997</c:v>
                  </c:pt>
                  <c:pt idx="7">
                    <c:v>0.70339133599999992</c:v>
                  </c:pt>
                  <c:pt idx="8">
                    <c:v>1.5234817509999998</c:v>
                  </c:pt>
                  <c:pt idx="9">
                    <c:v>1.3972926000000001</c:v>
                  </c:pt>
                  <c:pt idx="10">
                    <c:v>0.80883916800000011</c:v>
                  </c:pt>
                  <c:pt idx="11">
                    <c:v>1.486493415</c:v>
                  </c:pt>
                  <c:pt idx="12">
                    <c:v>1.5360537120000002</c:v>
                  </c:pt>
                  <c:pt idx="13">
                    <c:v>1.3563448000000002</c:v>
                  </c:pt>
                </c:numCache>
              </c:numRef>
            </c:plus>
            <c:minus>
              <c:numRef>
                <c:f>'Section 2 data country'!$P$7:$P$20</c:f>
                <c:numCache>
                  <c:formatCode>General</c:formatCode>
                  <c:ptCount val="14"/>
                  <c:pt idx="0">
                    <c:v>1.0168735299999998</c:v>
                  </c:pt>
                  <c:pt idx="1">
                    <c:v>1.9281920000000001</c:v>
                  </c:pt>
                  <c:pt idx="2">
                    <c:v>1.476362736</c:v>
                  </c:pt>
                  <c:pt idx="3">
                    <c:v>0.80429105700000003</c:v>
                  </c:pt>
                  <c:pt idx="4">
                    <c:v>4.1066013689999998</c:v>
                  </c:pt>
                  <c:pt idx="5">
                    <c:v>0.61670978999999992</c:v>
                  </c:pt>
                  <c:pt idx="6">
                    <c:v>2.5909376799999997</c:v>
                  </c:pt>
                  <c:pt idx="7">
                    <c:v>0.70339133599999992</c:v>
                  </c:pt>
                  <c:pt idx="8">
                    <c:v>1.5234817509999998</c:v>
                  </c:pt>
                  <c:pt idx="9">
                    <c:v>1.3972926000000001</c:v>
                  </c:pt>
                  <c:pt idx="10">
                    <c:v>0.80883916800000011</c:v>
                  </c:pt>
                  <c:pt idx="11">
                    <c:v>1.486493415</c:v>
                  </c:pt>
                  <c:pt idx="12">
                    <c:v>1.5360537120000002</c:v>
                  </c:pt>
                  <c:pt idx="13">
                    <c:v>1.3563448000000002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country'!$D$7:$D$20</c:f>
              <c:numCache>
                <c:formatCode>#,##0.0</c:formatCode>
                <c:ptCount val="14"/>
                <c:pt idx="0">
                  <c:v>59.816089999999996</c:v>
                </c:pt>
                <c:pt idx="1">
                  <c:v>96.409600000000012</c:v>
                </c:pt>
                <c:pt idx="2">
                  <c:v>102.52519000000001</c:v>
                </c:pt>
                <c:pt idx="3">
                  <c:v>44.435970000000005</c:v>
                </c:pt>
                <c:pt idx="4">
                  <c:v>25.682310000000001</c:v>
                </c:pt>
                <c:pt idx="5">
                  <c:v>32.458410000000001</c:v>
                </c:pt>
                <c:pt idx="6">
                  <c:v>91.230199999999996</c:v>
                </c:pt>
                <c:pt idx="7">
                  <c:v>38.227789999999999</c:v>
                </c:pt>
                <c:pt idx="8">
                  <c:v>60.216670000000001</c:v>
                </c:pt>
                <c:pt idx="9">
                  <c:v>93.152839999999998</c:v>
                </c:pt>
                <c:pt idx="10">
                  <c:v>86.046720000000008</c:v>
                </c:pt>
                <c:pt idx="11">
                  <c:v>90.090509999999995</c:v>
                </c:pt>
                <c:pt idx="12">
                  <c:v>111.30824000000001</c:v>
                </c:pt>
                <c:pt idx="13">
                  <c:v>84.771550000000005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78976"/>
        <c:axId val="27684864"/>
      </c:barChart>
      <c:catAx>
        <c:axId val="27678976"/>
        <c:scaling>
          <c:orientation val="maxMin"/>
        </c:scaling>
        <c:delete val="0"/>
        <c:axPos val="l"/>
        <c:majorTickMark val="out"/>
        <c:minorTickMark val="none"/>
        <c:tickLblPos val="nextTo"/>
        <c:crossAx val="27684864"/>
        <c:crosses val="autoZero"/>
        <c:auto val="1"/>
        <c:lblAlgn val="ctr"/>
        <c:lblOffset val="100"/>
        <c:tickLblSkip val="1"/>
        <c:noMultiLvlLbl val="0"/>
      </c:catAx>
      <c:valAx>
        <c:axId val="27684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767897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country'!$C$7:$C$20</c:f>
              <c:numCache>
                <c:formatCode>#,##0.0</c:formatCode>
                <c:ptCount val="14"/>
                <c:pt idx="0">
                  <c:v>16.338729999999998</c:v>
                </c:pt>
                <c:pt idx="1">
                  <c:v>10.266860000000001</c:v>
                </c:pt>
                <c:pt idx="2">
                  <c:v>21.707750000000001</c:v>
                </c:pt>
                <c:pt idx="3">
                  <c:v>6.7304899999999996</c:v>
                </c:pt>
                <c:pt idx="4">
                  <c:v>1.2154100000000001</c:v>
                </c:pt>
                <c:pt idx="5">
                  <c:v>0.72744000000000009</c:v>
                </c:pt>
                <c:pt idx="6">
                  <c:v>5.3738100000000006</c:v>
                </c:pt>
                <c:pt idx="7">
                  <c:v>8.6968199999999989</c:v>
                </c:pt>
                <c:pt idx="8">
                  <c:v>40.127139999999997</c:v>
                </c:pt>
                <c:pt idx="9">
                  <c:v>21.131790000000002</c:v>
                </c:pt>
                <c:pt idx="10">
                  <c:v>2.5629</c:v>
                </c:pt>
                <c:pt idx="11">
                  <c:v>10.756680000000001</c:v>
                </c:pt>
                <c:pt idx="12">
                  <c:v>19.459019999999999</c:v>
                </c:pt>
                <c:pt idx="13">
                  <c:v>16.078620000000001</c:v>
                </c:pt>
              </c:numCache>
            </c:numRef>
          </c:val>
        </c:ser>
        <c:ser>
          <c:idx val="1"/>
          <c:order val="1"/>
          <c:tx>
            <c:strRef>
              <c:f>'Section 2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country'!$P$7:$P$20</c:f>
                <c:numCache>
                  <c:formatCode>General</c:formatCode>
                  <c:ptCount val="14"/>
                  <c:pt idx="0">
                    <c:v>1.0168735299999998</c:v>
                  </c:pt>
                  <c:pt idx="1">
                    <c:v>1.9281920000000001</c:v>
                  </c:pt>
                  <c:pt idx="2">
                    <c:v>1.476362736</c:v>
                  </c:pt>
                  <c:pt idx="3">
                    <c:v>0.80429105700000003</c:v>
                  </c:pt>
                  <c:pt idx="4">
                    <c:v>4.1066013689999998</c:v>
                  </c:pt>
                  <c:pt idx="5">
                    <c:v>0.61670978999999992</c:v>
                  </c:pt>
                  <c:pt idx="6">
                    <c:v>2.5909376799999997</c:v>
                  </c:pt>
                  <c:pt idx="7">
                    <c:v>0.70339133599999992</c:v>
                  </c:pt>
                  <c:pt idx="8">
                    <c:v>1.5234817509999998</c:v>
                  </c:pt>
                  <c:pt idx="9">
                    <c:v>1.3972926000000001</c:v>
                  </c:pt>
                  <c:pt idx="10">
                    <c:v>0.80883916800000011</c:v>
                  </c:pt>
                  <c:pt idx="11">
                    <c:v>1.486493415</c:v>
                  </c:pt>
                  <c:pt idx="12">
                    <c:v>1.5360537120000002</c:v>
                  </c:pt>
                  <c:pt idx="13">
                    <c:v>1.3563448000000002</c:v>
                  </c:pt>
                </c:numCache>
              </c:numRef>
            </c:plus>
            <c:minus>
              <c:numRef>
                <c:f>'Section 2 data country'!$P$7:$P$20</c:f>
                <c:numCache>
                  <c:formatCode>General</c:formatCode>
                  <c:ptCount val="14"/>
                  <c:pt idx="0">
                    <c:v>1.0168735299999998</c:v>
                  </c:pt>
                  <c:pt idx="1">
                    <c:v>1.9281920000000001</c:v>
                  </c:pt>
                  <c:pt idx="2">
                    <c:v>1.476362736</c:v>
                  </c:pt>
                  <c:pt idx="3">
                    <c:v>0.80429105700000003</c:v>
                  </c:pt>
                  <c:pt idx="4">
                    <c:v>4.1066013689999998</c:v>
                  </c:pt>
                  <c:pt idx="5">
                    <c:v>0.61670978999999992</c:v>
                  </c:pt>
                  <c:pt idx="6">
                    <c:v>2.5909376799999997</c:v>
                  </c:pt>
                  <c:pt idx="7">
                    <c:v>0.70339133599999992</c:v>
                  </c:pt>
                  <c:pt idx="8">
                    <c:v>1.5234817509999998</c:v>
                  </c:pt>
                  <c:pt idx="9">
                    <c:v>1.3972926000000001</c:v>
                  </c:pt>
                  <c:pt idx="10">
                    <c:v>0.80883916800000011</c:v>
                  </c:pt>
                  <c:pt idx="11">
                    <c:v>1.486493415</c:v>
                  </c:pt>
                  <c:pt idx="12">
                    <c:v>1.5360537120000002</c:v>
                  </c:pt>
                  <c:pt idx="13">
                    <c:v>1.3563448000000002</c:v>
                  </c:pt>
                </c:numCache>
              </c:numRef>
            </c:minus>
          </c:errBars>
          <c:cat>
            <c:strRef>
              <c:f>'Section 2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country'!$D$7:$D$20</c:f>
              <c:numCache>
                <c:formatCode>#,##0.0</c:formatCode>
                <c:ptCount val="14"/>
                <c:pt idx="0">
                  <c:v>59.816089999999996</c:v>
                </c:pt>
                <c:pt idx="1">
                  <c:v>96.409600000000012</c:v>
                </c:pt>
                <c:pt idx="2">
                  <c:v>102.52519000000001</c:v>
                </c:pt>
                <c:pt idx="3">
                  <c:v>44.435970000000005</c:v>
                </c:pt>
                <c:pt idx="4">
                  <c:v>25.682310000000001</c:v>
                </c:pt>
                <c:pt idx="5">
                  <c:v>32.458410000000001</c:v>
                </c:pt>
                <c:pt idx="6">
                  <c:v>91.230199999999996</c:v>
                </c:pt>
                <c:pt idx="7">
                  <c:v>38.227789999999999</c:v>
                </c:pt>
                <c:pt idx="8">
                  <c:v>60.216670000000001</c:v>
                </c:pt>
                <c:pt idx="9">
                  <c:v>93.152839999999998</c:v>
                </c:pt>
                <c:pt idx="10">
                  <c:v>86.046720000000008</c:v>
                </c:pt>
                <c:pt idx="11">
                  <c:v>90.090509999999995</c:v>
                </c:pt>
                <c:pt idx="12">
                  <c:v>111.30824000000001</c:v>
                </c:pt>
                <c:pt idx="13">
                  <c:v>84.771550000000005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760512"/>
        <c:axId val="27762048"/>
      </c:barChart>
      <c:catAx>
        <c:axId val="277605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762048"/>
        <c:crosses val="autoZero"/>
        <c:auto val="1"/>
        <c:lblAlgn val="ctr"/>
        <c:lblOffset val="100"/>
        <c:tickLblSkip val="1"/>
        <c:noMultiLvlLbl val="0"/>
      </c:catAx>
      <c:valAx>
        <c:axId val="27762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760512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data'!$D$31:$D$53</c:f>
              <c:numCache>
                <c:formatCode>#,##0.0</c:formatCode>
                <c:ptCount val="23"/>
                <c:pt idx="0">
                  <c:v>17.899469999999997</c:v>
                </c:pt>
                <c:pt idx="1">
                  <c:v>15.17465</c:v>
                </c:pt>
                <c:pt idx="2">
                  <c:v>44.238689999999998</c:v>
                </c:pt>
                <c:pt idx="3">
                  <c:v>36.325769999999999</c:v>
                </c:pt>
                <c:pt idx="4">
                  <c:v>9.3446099999999994</c:v>
                </c:pt>
                <c:pt idx="5">
                  <c:v>3.8963100000000002</c:v>
                </c:pt>
                <c:pt idx="6">
                  <c:v>0.78931000000000018</c:v>
                </c:pt>
                <c:pt idx="8">
                  <c:v>4.0579400000000003</c:v>
                </c:pt>
                <c:pt idx="9">
                  <c:v>4.4019700000000004</c:v>
                </c:pt>
                <c:pt idx="10">
                  <c:v>5.6660299999999992</c:v>
                </c:pt>
                <c:pt idx="11">
                  <c:v>12.500200000000003</c:v>
                </c:pt>
                <c:pt idx="12">
                  <c:v>12.548170000000001</c:v>
                </c:pt>
                <c:pt idx="13">
                  <c:v>4.0968599999999995</c:v>
                </c:pt>
                <c:pt idx="14">
                  <c:v>10.393650000000001</c:v>
                </c:pt>
                <c:pt idx="16">
                  <c:v>21.957409999999999</c:v>
                </c:pt>
                <c:pt idx="17">
                  <c:v>19.576630000000002</c:v>
                </c:pt>
                <c:pt idx="18">
                  <c:v>49.904710000000009</c:v>
                </c:pt>
                <c:pt idx="19">
                  <c:v>48.82593</c:v>
                </c:pt>
                <c:pt idx="20">
                  <c:v>21.892759999999999</c:v>
                </c:pt>
                <c:pt idx="21">
                  <c:v>7.9931399999999995</c:v>
                </c:pt>
                <c:pt idx="22">
                  <c:v>11.182980000000001</c:v>
                </c:pt>
              </c:numCache>
            </c:numRef>
          </c:val>
        </c:ser>
        <c:ser>
          <c:idx val="1"/>
          <c:order val="1"/>
          <c:tx>
            <c:strRef>
              <c:f>'Section 2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data'!$G$31:$G$53</c:f>
                <c:numCache>
                  <c:formatCode>General</c:formatCode>
                  <c:ptCount val="23"/>
                  <c:pt idx="0">
                    <c:v>2.8430830775352014</c:v>
                  </c:pt>
                  <c:pt idx="1">
                    <c:v>1.5492349435678825</c:v>
                  </c:pt>
                  <c:pt idx="2">
                    <c:v>3.3684113395098656</c:v>
                  </c:pt>
                  <c:pt idx="3">
                    <c:v>3.4668106419219886</c:v>
                  </c:pt>
                  <c:pt idx="4">
                    <c:v>1.9205779883639726</c:v>
                  </c:pt>
                  <c:pt idx="5">
                    <c:v>0.79396513931036661</c:v>
                  </c:pt>
                  <c:pt idx="6">
                    <c:v>0.55880934572353314</c:v>
                  </c:pt>
                  <c:pt idx="8">
                    <c:v>16.02018883963477</c:v>
                  </c:pt>
                  <c:pt idx="9">
                    <c:v>5.9661000189753848</c:v>
                  </c:pt>
                  <c:pt idx="10">
                    <c:v>6.5807027930292126</c:v>
                  </c:pt>
                  <c:pt idx="11">
                    <c:v>5.0887136147358003</c:v>
                  </c:pt>
                  <c:pt idx="12">
                    <c:v>4.6380564574473331</c:v>
                  </c:pt>
                  <c:pt idx="13">
                    <c:v>4.2602429259569972</c:v>
                  </c:pt>
                  <c:pt idx="14">
                    <c:v>3.3204363510903141</c:v>
                  </c:pt>
                  <c:pt idx="16">
                    <c:v>16.83298471544876</c:v>
                  </c:pt>
                  <c:pt idx="17">
                    <c:v>6.2441286812274654</c:v>
                  </c:pt>
                  <c:pt idx="18">
                    <c:v>8.5043758562230067</c:v>
                  </c:pt>
                  <c:pt idx="19">
                    <c:v>6.3085120866955648</c:v>
                  </c:pt>
                  <c:pt idx="20">
                    <c:v>5.1846038893805373</c:v>
                  </c:pt>
                  <c:pt idx="21">
                    <c:v>4.3751575797948643</c:v>
                  </c:pt>
                  <c:pt idx="22">
                    <c:v>3.3917338622175857</c:v>
                  </c:pt>
                </c:numCache>
              </c:numRef>
            </c:plus>
            <c:minus>
              <c:numRef>
                <c:f>'Section 2 data'!$G$31:$G$53</c:f>
                <c:numCache>
                  <c:formatCode>General</c:formatCode>
                  <c:ptCount val="23"/>
                  <c:pt idx="0">
                    <c:v>2.8430830775352014</c:v>
                  </c:pt>
                  <c:pt idx="1">
                    <c:v>1.5492349435678825</c:v>
                  </c:pt>
                  <c:pt idx="2">
                    <c:v>3.3684113395098656</c:v>
                  </c:pt>
                  <c:pt idx="3">
                    <c:v>3.4668106419219886</c:v>
                  </c:pt>
                  <c:pt idx="4">
                    <c:v>1.9205779883639726</c:v>
                  </c:pt>
                  <c:pt idx="5">
                    <c:v>0.79396513931036661</c:v>
                  </c:pt>
                  <c:pt idx="6">
                    <c:v>0.55880934572353314</c:v>
                  </c:pt>
                  <c:pt idx="8">
                    <c:v>16.02018883963477</c:v>
                  </c:pt>
                  <c:pt idx="9">
                    <c:v>5.9661000189753848</c:v>
                  </c:pt>
                  <c:pt idx="10">
                    <c:v>6.5807027930292126</c:v>
                  </c:pt>
                  <c:pt idx="11">
                    <c:v>5.0887136147358003</c:v>
                  </c:pt>
                  <c:pt idx="12">
                    <c:v>4.6380564574473331</c:v>
                  </c:pt>
                  <c:pt idx="13">
                    <c:v>4.2602429259569972</c:v>
                  </c:pt>
                  <c:pt idx="14">
                    <c:v>3.3204363510903141</c:v>
                  </c:pt>
                  <c:pt idx="16">
                    <c:v>16.83298471544876</c:v>
                  </c:pt>
                  <c:pt idx="17">
                    <c:v>6.2441286812274654</c:v>
                  </c:pt>
                  <c:pt idx="18">
                    <c:v>8.5043758562230067</c:v>
                  </c:pt>
                  <c:pt idx="19">
                    <c:v>6.3085120866955648</c:v>
                  </c:pt>
                  <c:pt idx="20">
                    <c:v>5.1846038893805373</c:v>
                  </c:pt>
                  <c:pt idx="21">
                    <c:v>4.3751575797948643</c:v>
                  </c:pt>
                  <c:pt idx="22">
                    <c:v>3.3917338622175857</c:v>
                  </c:pt>
                </c:numCache>
              </c:numRef>
            </c:minus>
          </c:errBars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data'!$E$31:$E$53</c:f>
              <c:numCache>
                <c:formatCode>#,##0.0</c:formatCode>
                <c:ptCount val="23"/>
                <c:pt idx="0">
                  <c:v>7.0059100000000001</c:v>
                </c:pt>
                <c:pt idx="1">
                  <c:v>9.2496700000000001</c:v>
                </c:pt>
                <c:pt idx="2">
                  <c:v>53.01153</c:v>
                </c:pt>
                <c:pt idx="3">
                  <c:v>83.497649999999993</c:v>
                </c:pt>
                <c:pt idx="4">
                  <c:v>19.489659999999997</c:v>
                </c:pt>
                <c:pt idx="5">
                  <c:v>2.83283</c:v>
                </c:pt>
                <c:pt idx="6">
                  <c:v>2.4670000000000001</c:v>
                </c:pt>
                <c:pt idx="8">
                  <c:v>98.771830000000008</c:v>
                </c:pt>
                <c:pt idx="9">
                  <c:v>114.97349999999999</c:v>
                </c:pt>
                <c:pt idx="10">
                  <c:v>226.23848999999998</c:v>
                </c:pt>
                <c:pt idx="11">
                  <c:v>144.22015000000002</c:v>
                </c:pt>
                <c:pt idx="12">
                  <c:v>115.30089000000001</c:v>
                </c:pt>
                <c:pt idx="13">
                  <c:v>90.600660000000005</c:v>
                </c:pt>
                <c:pt idx="14">
                  <c:v>48.725180000000002</c:v>
                </c:pt>
                <c:pt idx="16">
                  <c:v>105.80068000000001</c:v>
                </c:pt>
                <c:pt idx="17">
                  <c:v>124.25308000000001</c:v>
                </c:pt>
                <c:pt idx="18">
                  <c:v>279.66856000000007</c:v>
                </c:pt>
                <c:pt idx="19">
                  <c:v>227.40845999999996</c:v>
                </c:pt>
                <c:pt idx="20">
                  <c:v>134.90960999999999</c:v>
                </c:pt>
                <c:pt idx="21">
                  <c:v>93.46463</c:v>
                </c:pt>
                <c:pt idx="22">
                  <c:v>50.867080000000001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429312"/>
        <c:axId val="27398912"/>
      </c:barChart>
      <c:catAx>
        <c:axId val="284293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7398912"/>
        <c:crosses val="autoZero"/>
        <c:auto val="1"/>
        <c:lblAlgn val="ctr"/>
        <c:lblOffset val="100"/>
        <c:noMultiLvlLbl val="0"/>
      </c:catAx>
      <c:valAx>
        <c:axId val="27398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4293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data'!$D$31:$D$53</c:f>
              <c:numCache>
                <c:formatCode>#,##0.0</c:formatCode>
                <c:ptCount val="23"/>
                <c:pt idx="0">
                  <c:v>17.899469999999997</c:v>
                </c:pt>
                <c:pt idx="1">
                  <c:v>15.17465</c:v>
                </c:pt>
                <c:pt idx="2">
                  <c:v>44.238689999999998</c:v>
                </c:pt>
                <c:pt idx="3">
                  <c:v>36.325769999999999</c:v>
                </c:pt>
                <c:pt idx="4">
                  <c:v>9.3446099999999994</c:v>
                </c:pt>
                <c:pt idx="5">
                  <c:v>3.8963100000000002</c:v>
                </c:pt>
                <c:pt idx="6">
                  <c:v>0.78931000000000018</c:v>
                </c:pt>
                <c:pt idx="8">
                  <c:v>4.0579400000000003</c:v>
                </c:pt>
                <c:pt idx="9">
                  <c:v>4.4019700000000004</c:v>
                </c:pt>
                <c:pt idx="10">
                  <c:v>5.6660299999999992</c:v>
                </c:pt>
                <c:pt idx="11">
                  <c:v>12.500200000000003</c:v>
                </c:pt>
                <c:pt idx="12">
                  <c:v>12.548170000000001</c:v>
                </c:pt>
                <c:pt idx="13">
                  <c:v>4.0968599999999995</c:v>
                </c:pt>
                <c:pt idx="14">
                  <c:v>10.393650000000001</c:v>
                </c:pt>
                <c:pt idx="16">
                  <c:v>21.957409999999999</c:v>
                </c:pt>
                <c:pt idx="17">
                  <c:v>19.576630000000002</c:v>
                </c:pt>
                <c:pt idx="18">
                  <c:v>49.904710000000009</c:v>
                </c:pt>
                <c:pt idx="19">
                  <c:v>48.82593</c:v>
                </c:pt>
                <c:pt idx="20">
                  <c:v>21.892759999999999</c:v>
                </c:pt>
                <c:pt idx="21">
                  <c:v>7.9931399999999995</c:v>
                </c:pt>
                <c:pt idx="22">
                  <c:v>11.182980000000001</c:v>
                </c:pt>
              </c:numCache>
            </c:numRef>
          </c:val>
        </c:ser>
        <c:ser>
          <c:idx val="1"/>
          <c:order val="1"/>
          <c:tx>
            <c:strRef>
              <c:f>'Section 2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data'!$G$31:$G$53</c:f>
                <c:numCache>
                  <c:formatCode>General</c:formatCode>
                  <c:ptCount val="23"/>
                  <c:pt idx="0">
                    <c:v>2.8430830775352014</c:v>
                  </c:pt>
                  <c:pt idx="1">
                    <c:v>1.5492349435678825</c:v>
                  </c:pt>
                  <c:pt idx="2">
                    <c:v>3.3684113395098656</c:v>
                  </c:pt>
                  <c:pt idx="3">
                    <c:v>3.4668106419219886</c:v>
                  </c:pt>
                  <c:pt idx="4">
                    <c:v>1.9205779883639726</c:v>
                  </c:pt>
                  <c:pt idx="5">
                    <c:v>0.79396513931036661</c:v>
                  </c:pt>
                  <c:pt idx="6">
                    <c:v>0.55880934572353314</c:v>
                  </c:pt>
                  <c:pt idx="8">
                    <c:v>16.02018883963477</c:v>
                  </c:pt>
                  <c:pt idx="9">
                    <c:v>5.9661000189753848</c:v>
                  </c:pt>
                  <c:pt idx="10">
                    <c:v>6.5807027930292126</c:v>
                  </c:pt>
                  <c:pt idx="11">
                    <c:v>5.0887136147358003</c:v>
                  </c:pt>
                  <c:pt idx="12">
                    <c:v>4.6380564574473331</c:v>
                  </c:pt>
                  <c:pt idx="13">
                    <c:v>4.2602429259569972</c:v>
                  </c:pt>
                  <c:pt idx="14">
                    <c:v>3.3204363510903141</c:v>
                  </c:pt>
                  <c:pt idx="16">
                    <c:v>16.83298471544876</c:v>
                  </c:pt>
                  <c:pt idx="17">
                    <c:v>6.2441286812274654</c:v>
                  </c:pt>
                  <c:pt idx="18">
                    <c:v>8.5043758562230067</c:v>
                  </c:pt>
                  <c:pt idx="19">
                    <c:v>6.3085120866955648</c:v>
                  </c:pt>
                  <c:pt idx="20">
                    <c:v>5.1846038893805373</c:v>
                  </c:pt>
                  <c:pt idx="21">
                    <c:v>4.3751575797948643</c:v>
                  </c:pt>
                  <c:pt idx="22">
                    <c:v>3.3917338622175857</c:v>
                  </c:pt>
                </c:numCache>
              </c:numRef>
            </c:plus>
            <c:minus>
              <c:numRef>
                <c:f>'Section 2 data'!$G$31:$G$53</c:f>
                <c:numCache>
                  <c:formatCode>General</c:formatCode>
                  <c:ptCount val="23"/>
                  <c:pt idx="0">
                    <c:v>2.8430830775352014</c:v>
                  </c:pt>
                  <c:pt idx="1">
                    <c:v>1.5492349435678825</c:v>
                  </c:pt>
                  <c:pt idx="2">
                    <c:v>3.3684113395098656</c:v>
                  </c:pt>
                  <c:pt idx="3">
                    <c:v>3.4668106419219886</c:v>
                  </c:pt>
                  <c:pt idx="4">
                    <c:v>1.9205779883639726</c:v>
                  </c:pt>
                  <c:pt idx="5">
                    <c:v>0.79396513931036661</c:v>
                  </c:pt>
                  <c:pt idx="6">
                    <c:v>0.55880934572353314</c:v>
                  </c:pt>
                  <c:pt idx="8">
                    <c:v>16.02018883963477</c:v>
                  </c:pt>
                  <c:pt idx="9">
                    <c:v>5.9661000189753848</c:v>
                  </c:pt>
                  <c:pt idx="10">
                    <c:v>6.5807027930292126</c:v>
                  </c:pt>
                  <c:pt idx="11">
                    <c:v>5.0887136147358003</c:v>
                  </c:pt>
                  <c:pt idx="12">
                    <c:v>4.6380564574473331</c:v>
                  </c:pt>
                  <c:pt idx="13">
                    <c:v>4.2602429259569972</c:v>
                  </c:pt>
                  <c:pt idx="14">
                    <c:v>3.3204363510903141</c:v>
                  </c:pt>
                  <c:pt idx="16">
                    <c:v>16.83298471544876</c:v>
                  </c:pt>
                  <c:pt idx="17">
                    <c:v>6.2441286812274654</c:v>
                  </c:pt>
                  <c:pt idx="18">
                    <c:v>8.5043758562230067</c:v>
                  </c:pt>
                  <c:pt idx="19">
                    <c:v>6.3085120866955648</c:v>
                  </c:pt>
                  <c:pt idx="20">
                    <c:v>5.1846038893805373</c:v>
                  </c:pt>
                  <c:pt idx="21">
                    <c:v>4.3751575797948643</c:v>
                  </c:pt>
                  <c:pt idx="22">
                    <c:v>3.3917338622175857</c:v>
                  </c:pt>
                </c:numCache>
              </c:numRef>
            </c:minus>
          </c:errBars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data'!$E$31:$E$53</c:f>
              <c:numCache>
                <c:formatCode>#,##0.0</c:formatCode>
                <c:ptCount val="23"/>
                <c:pt idx="0">
                  <c:v>7.0059100000000001</c:v>
                </c:pt>
                <c:pt idx="1">
                  <c:v>9.2496700000000001</c:v>
                </c:pt>
                <c:pt idx="2">
                  <c:v>53.01153</c:v>
                </c:pt>
                <c:pt idx="3">
                  <c:v>83.497649999999993</c:v>
                </c:pt>
                <c:pt idx="4">
                  <c:v>19.489659999999997</c:v>
                </c:pt>
                <c:pt idx="5">
                  <c:v>2.83283</c:v>
                </c:pt>
                <c:pt idx="6">
                  <c:v>2.4670000000000001</c:v>
                </c:pt>
                <c:pt idx="8">
                  <c:v>98.771830000000008</c:v>
                </c:pt>
                <c:pt idx="9">
                  <c:v>114.97349999999999</c:v>
                </c:pt>
                <c:pt idx="10">
                  <c:v>226.23848999999998</c:v>
                </c:pt>
                <c:pt idx="11">
                  <c:v>144.22015000000002</c:v>
                </c:pt>
                <c:pt idx="12">
                  <c:v>115.30089000000001</c:v>
                </c:pt>
                <c:pt idx="13">
                  <c:v>90.600660000000005</c:v>
                </c:pt>
                <c:pt idx="14">
                  <c:v>48.725180000000002</c:v>
                </c:pt>
                <c:pt idx="16">
                  <c:v>105.80068000000001</c:v>
                </c:pt>
                <c:pt idx="17">
                  <c:v>124.25308000000001</c:v>
                </c:pt>
                <c:pt idx="18">
                  <c:v>279.66856000000007</c:v>
                </c:pt>
                <c:pt idx="19">
                  <c:v>227.40845999999996</c:v>
                </c:pt>
                <c:pt idx="20">
                  <c:v>134.90960999999999</c:v>
                </c:pt>
                <c:pt idx="21">
                  <c:v>93.46463</c:v>
                </c:pt>
                <c:pt idx="22">
                  <c:v>50.867080000000001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441792"/>
        <c:axId val="27443584"/>
      </c:barChart>
      <c:catAx>
        <c:axId val="274417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27443584"/>
        <c:crosses val="autoZero"/>
        <c:auto val="1"/>
        <c:lblAlgn val="ctr"/>
        <c:lblOffset val="100"/>
        <c:noMultiLvlLbl val="0"/>
      </c:catAx>
      <c:valAx>
        <c:axId val="27443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74417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319423329979512"/>
          <c:y val="0.46423866581656031"/>
          <c:w val="5.8610336889167565E-2"/>
          <c:h val="7.5709464070369811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1348359275801"/>
          <c:y val="7.3093991482708925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2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data'!$D$58:$D$86</c:f>
              <c:numCache>
                <c:formatCode>#,##0.0</c:formatCode>
                <c:ptCount val="29"/>
                <c:pt idx="0">
                  <c:v>19.814070000000001</c:v>
                </c:pt>
                <c:pt idx="1">
                  <c:v>7.0026699999999993</c:v>
                </c:pt>
                <c:pt idx="2">
                  <c:v>23.031970000000001</c:v>
                </c:pt>
                <c:pt idx="3">
                  <c:v>22.334919999999997</c:v>
                </c:pt>
                <c:pt idx="4">
                  <c:v>23.36355</c:v>
                </c:pt>
                <c:pt idx="5">
                  <c:v>17.265070000000001</c:v>
                </c:pt>
                <c:pt idx="6">
                  <c:v>13.36876</c:v>
                </c:pt>
                <c:pt idx="7">
                  <c:v>1.1394900000000001</c:v>
                </c:pt>
                <c:pt idx="8">
                  <c:v>0.19205</c:v>
                </c:pt>
                <c:pt idx="10">
                  <c:v>5.8585799999999999</c:v>
                </c:pt>
                <c:pt idx="11">
                  <c:v>6.1244400000000008</c:v>
                </c:pt>
                <c:pt idx="12">
                  <c:v>6.2355800000000006</c:v>
                </c:pt>
                <c:pt idx="13">
                  <c:v>6.8958499999999994</c:v>
                </c:pt>
                <c:pt idx="14">
                  <c:v>15.367700000000001</c:v>
                </c:pt>
                <c:pt idx="15">
                  <c:v>8.3948199999999993</c:v>
                </c:pt>
                <c:pt idx="16">
                  <c:v>3.9185799999999995</c:v>
                </c:pt>
                <c:pt idx="17">
                  <c:v>0.68094999999999994</c:v>
                </c:pt>
                <c:pt idx="18">
                  <c:v>0.18443000000000001</c:v>
                </c:pt>
                <c:pt idx="20">
                  <c:v>25.672659999999997</c:v>
                </c:pt>
                <c:pt idx="21">
                  <c:v>13.1271</c:v>
                </c:pt>
                <c:pt idx="22">
                  <c:v>29.267570000000003</c:v>
                </c:pt>
                <c:pt idx="23">
                  <c:v>29.230760000000004</c:v>
                </c:pt>
                <c:pt idx="24">
                  <c:v>38.73124</c:v>
                </c:pt>
                <c:pt idx="25">
                  <c:v>25.659890000000001</c:v>
                </c:pt>
                <c:pt idx="26">
                  <c:v>17.287309999999998</c:v>
                </c:pt>
                <c:pt idx="27">
                  <c:v>1.82043</c:v>
                </c:pt>
                <c:pt idx="28">
                  <c:v>0.37648000000000004</c:v>
                </c:pt>
              </c:numCache>
            </c:numRef>
          </c:val>
        </c:ser>
        <c:ser>
          <c:idx val="1"/>
          <c:order val="1"/>
          <c:tx>
            <c:strRef>
              <c:f>'Section 2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data'!$G$58:$G$86</c:f>
                <c:numCache>
                  <c:formatCode>General</c:formatCode>
                  <c:ptCount val="29"/>
                  <c:pt idx="0">
                    <c:v>1.1567573978138084</c:v>
                  </c:pt>
                  <c:pt idx="1">
                    <c:v>0.90450366718369724</c:v>
                  </c:pt>
                  <c:pt idx="2">
                    <c:v>1.2066363716669073</c:v>
                  </c:pt>
                  <c:pt idx="3">
                    <c:v>1.4706045448730019</c:v>
                  </c:pt>
                  <c:pt idx="4">
                    <c:v>2.0932709155409022</c:v>
                  </c:pt>
                  <c:pt idx="5">
                    <c:v>2.0794978418400523</c:v>
                  </c:pt>
                  <c:pt idx="6">
                    <c:v>1.5742829608747178</c:v>
                  </c:pt>
                  <c:pt idx="7">
                    <c:v>7.5857929048318753E-4</c:v>
                  </c:pt>
                  <c:pt idx="8">
                    <c:v>4.6915546841187495E-4</c:v>
                  </c:pt>
                  <c:pt idx="10">
                    <c:v>5.0214758173454115</c:v>
                  </c:pt>
                  <c:pt idx="11">
                    <c:v>3.6705303332156816</c:v>
                  </c:pt>
                  <c:pt idx="12">
                    <c:v>3.3245866246375022</c:v>
                  </c:pt>
                  <c:pt idx="13">
                    <c:v>2.6900260763725941</c:v>
                  </c:pt>
                  <c:pt idx="14">
                    <c:v>3.3312635294700077</c:v>
                  </c:pt>
                  <c:pt idx="15">
                    <c:v>2.9135168866847181</c:v>
                  </c:pt>
                  <c:pt idx="16">
                    <c:v>3.1860289281219338</c:v>
                  </c:pt>
                  <c:pt idx="17">
                    <c:v>2.118645365279535</c:v>
                  </c:pt>
                  <c:pt idx="18">
                    <c:v>1.9127647391943046</c:v>
                  </c:pt>
                  <c:pt idx="20">
                    <c:v>5.1326711418902065</c:v>
                  </c:pt>
                  <c:pt idx="21">
                    <c:v>3.7913712221137392</c:v>
                  </c:pt>
                  <c:pt idx="22">
                    <c:v>3.5318208937628754</c:v>
                  </c:pt>
                  <c:pt idx="23">
                    <c:v>3.0662432950389791</c:v>
                  </c:pt>
                  <c:pt idx="24">
                    <c:v>3.8785211099402788</c:v>
                  </c:pt>
                  <c:pt idx="25">
                    <c:v>3.5441877439846881</c:v>
                  </c:pt>
                  <c:pt idx="26">
                    <c:v>3.5493117543606703</c:v>
                  </c:pt>
                  <c:pt idx="27">
                    <c:v>2.25596572785622</c:v>
                  </c:pt>
                  <c:pt idx="28">
                    <c:v>1.9696762805342407</c:v>
                  </c:pt>
                </c:numCache>
              </c:numRef>
            </c:plus>
            <c:minus>
              <c:numRef>
                <c:f>'Section 2 data'!$G$58:$G$86</c:f>
                <c:numCache>
                  <c:formatCode>General</c:formatCode>
                  <c:ptCount val="29"/>
                  <c:pt idx="0">
                    <c:v>1.1567573978138084</c:v>
                  </c:pt>
                  <c:pt idx="1">
                    <c:v>0.90450366718369724</c:v>
                  </c:pt>
                  <c:pt idx="2">
                    <c:v>1.2066363716669073</c:v>
                  </c:pt>
                  <c:pt idx="3">
                    <c:v>1.4706045448730019</c:v>
                  </c:pt>
                  <c:pt idx="4">
                    <c:v>2.0932709155409022</c:v>
                  </c:pt>
                  <c:pt idx="5">
                    <c:v>2.0794978418400523</c:v>
                  </c:pt>
                  <c:pt idx="6">
                    <c:v>1.5742829608747178</c:v>
                  </c:pt>
                  <c:pt idx="7">
                    <c:v>7.5857929048318753E-4</c:v>
                  </c:pt>
                  <c:pt idx="8">
                    <c:v>4.6915546841187495E-4</c:v>
                  </c:pt>
                  <c:pt idx="10">
                    <c:v>5.0214758173454115</c:v>
                  </c:pt>
                  <c:pt idx="11">
                    <c:v>3.6705303332156816</c:v>
                  </c:pt>
                  <c:pt idx="12">
                    <c:v>3.3245866246375022</c:v>
                  </c:pt>
                  <c:pt idx="13">
                    <c:v>2.6900260763725941</c:v>
                  </c:pt>
                  <c:pt idx="14">
                    <c:v>3.3312635294700077</c:v>
                  </c:pt>
                  <c:pt idx="15">
                    <c:v>2.9135168866847181</c:v>
                  </c:pt>
                  <c:pt idx="16">
                    <c:v>3.1860289281219338</c:v>
                  </c:pt>
                  <c:pt idx="17">
                    <c:v>2.118645365279535</c:v>
                  </c:pt>
                  <c:pt idx="18">
                    <c:v>1.9127647391943046</c:v>
                  </c:pt>
                  <c:pt idx="20">
                    <c:v>5.1326711418902065</c:v>
                  </c:pt>
                  <c:pt idx="21">
                    <c:v>3.7913712221137392</c:v>
                  </c:pt>
                  <c:pt idx="22">
                    <c:v>3.5318208937628754</c:v>
                  </c:pt>
                  <c:pt idx="23">
                    <c:v>3.0662432950389791</c:v>
                  </c:pt>
                  <c:pt idx="24">
                    <c:v>3.8785211099402788</c:v>
                  </c:pt>
                  <c:pt idx="25">
                    <c:v>3.5441877439846881</c:v>
                  </c:pt>
                  <c:pt idx="26">
                    <c:v>3.5493117543606703</c:v>
                  </c:pt>
                  <c:pt idx="27">
                    <c:v>2.25596572785622</c:v>
                  </c:pt>
                  <c:pt idx="28">
                    <c:v>1.9696762805342407</c:v>
                  </c:pt>
                </c:numCache>
              </c:numRef>
            </c:minus>
          </c:errBars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data'!$E$58:$E$86</c:f>
              <c:numCache>
                <c:formatCode>#,##0.0</c:formatCode>
                <c:ptCount val="29"/>
                <c:pt idx="0">
                  <c:v>8.3955500000000001</c:v>
                </c:pt>
                <c:pt idx="1">
                  <c:v>7.3199599999999991</c:v>
                </c:pt>
                <c:pt idx="2">
                  <c:v>12.887109999999998</c:v>
                </c:pt>
                <c:pt idx="3">
                  <c:v>20.87013</c:v>
                </c:pt>
                <c:pt idx="4">
                  <c:v>50.029089999999997</c:v>
                </c:pt>
                <c:pt idx="5">
                  <c:v>45.473959999999991</c:v>
                </c:pt>
                <c:pt idx="6">
                  <c:v>26.997049999999998</c:v>
                </c:pt>
                <c:pt idx="7">
                  <c:v>3.6102299999999996</c:v>
                </c:pt>
                <c:pt idx="8">
                  <c:v>1.9712000000000001</c:v>
                </c:pt>
                <c:pt idx="10">
                  <c:v>123.81151</c:v>
                </c:pt>
                <c:pt idx="11">
                  <c:v>153.90060999999997</c:v>
                </c:pt>
                <c:pt idx="12">
                  <c:v>118.71392999999999</c:v>
                </c:pt>
                <c:pt idx="13">
                  <c:v>84.814849999999993</c:v>
                </c:pt>
                <c:pt idx="14">
                  <c:v>122.74942999999999</c:v>
                </c:pt>
                <c:pt idx="15">
                  <c:v>80.58108</c:v>
                </c:pt>
                <c:pt idx="16">
                  <c:v>95.762619999999998</c:v>
                </c:pt>
                <c:pt idx="17">
                  <c:v>36.381550000000004</c:v>
                </c:pt>
                <c:pt idx="18">
                  <c:v>22.115099999999998</c:v>
                </c:pt>
                <c:pt idx="20">
                  <c:v>132.24871999999999</c:v>
                </c:pt>
                <c:pt idx="21">
                  <c:v>161.34562</c:v>
                </c:pt>
                <c:pt idx="22">
                  <c:v>131.83850000000001</c:v>
                </c:pt>
                <c:pt idx="23">
                  <c:v>105.90535000000001</c:v>
                </c:pt>
                <c:pt idx="24">
                  <c:v>172.49074999999999</c:v>
                </c:pt>
                <c:pt idx="25">
                  <c:v>125.96865</c:v>
                </c:pt>
                <c:pt idx="26">
                  <c:v>122.6575</c:v>
                </c:pt>
                <c:pt idx="27">
                  <c:v>39.798159999999996</c:v>
                </c:pt>
                <c:pt idx="28">
                  <c:v>24.118879999999997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10304"/>
        <c:axId val="28211840"/>
      </c:barChart>
      <c:catAx>
        <c:axId val="282103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8211840"/>
        <c:crosses val="autoZero"/>
        <c:auto val="1"/>
        <c:lblAlgn val="ctr"/>
        <c:lblOffset val="100"/>
        <c:noMultiLvlLbl val="0"/>
      </c:catAx>
      <c:valAx>
        <c:axId val="28211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2103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1348359275801"/>
          <c:y val="7.3093991482708925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2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data'!$D$58:$D$86</c:f>
              <c:numCache>
                <c:formatCode>#,##0.0</c:formatCode>
                <c:ptCount val="29"/>
                <c:pt idx="0">
                  <c:v>19.814070000000001</c:v>
                </c:pt>
                <c:pt idx="1">
                  <c:v>7.0026699999999993</c:v>
                </c:pt>
                <c:pt idx="2">
                  <c:v>23.031970000000001</c:v>
                </c:pt>
                <c:pt idx="3">
                  <c:v>22.334919999999997</c:v>
                </c:pt>
                <c:pt idx="4">
                  <c:v>23.36355</c:v>
                </c:pt>
                <c:pt idx="5">
                  <c:v>17.265070000000001</c:v>
                </c:pt>
                <c:pt idx="6">
                  <c:v>13.36876</c:v>
                </c:pt>
                <c:pt idx="7">
                  <c:v>1.1394900000000001</c:v>
                </c:pt>
                <c:pt idx="8">
                  <c:v>0.19205</c:v>
                </c:pt>
                <c:pt idx="10">
                  <c:v>5.8585799999999999</c:v>
                </c:pt>
                <c:pt idx="11">
                  <c:v>6.1244400000000008</c:v>
                </c:pt>
                <c:pt idx="12">
                  <c:v>6.2355800000000006</c:v>
                </c:pt>
                <c:pt idx="13">
                  <c:v>6.8958499999999994</c:v>
                </c:pt>
                <c:pt idx="14">
                  <c:v>15.367700000000001</c:v>
                </c:pt>
                <c:pt idx="15">
                  <c:v>8.3948199999999993</c:v>
                </c:pt>
                <c:pt idx="16">
                  <c:v>3.9185799999999995</c:v>
                </c:pt>
                <c:pt idx="17">
                  <c:v>0.68094999999999994</c:v>
                </c:pt>
                <c:pt idx="18">
                  <c:v>0.18443000000000001</c:v>
                </c:pt>
                <c:pt idx="20">
                  <c:v>25.672659999999997</c:v>
                </c:pt>
                <c:pt idx="21">
                  <c:v>13.1271</c:v>
                </c:pt>
                <c:pt idx="22">
                  <c:v>29.267570000000003</c:v>
                </c:pt>
                <c:pt idx="23">
                  <c:v>29.230760000000004</c:v>
                </c:pt>
                <c:pt idx="24">
                  <c:v>38.73124</c:v>
                </c:pt>
                <c:pt idx="25">
                  <c:v>25.659890000000001</c:v>
                </c:pt>
                <c:pt idx="26">
                  <c:v>17.287309999999998</c:v>
                </c:pt>
                <c:pt idx="27">
                  <c:v>1.82043</c:v>
                </c:pt>
                <c:pt idx="28">
                  <c:v>0.37648000000000004</c:v>
                </c:pt>
              </c:numCache>
            </c:numRef>
          </c:val>
        </c:ser>
        <c:ser>
          <c:idx val="1"/>
          <c:order val="1"/>
          <c:tx>
            <c:strRef>
              <c:f>'Section 2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data'!$G$58:$G$86</c:f>
                <c:numCache>
                  <c:formatCode>General</c:formatCode>
                  <c:ptCount val="29"/>
                  <c:pt idx="0">
                    <c:v>1.1567573978138084</c:v>
                  </c:pt>
                  <c:pt idx="1">
                    <c:v>0.90450366718369724</c:v>
                  </c:pt>
                  <c:pt idx="2">
                    <c:v>1.2066363716669073</c:v>
                  </c:pt>
                  <c:pt idx="3">
                    <c:v>1.4706045448730019</c:v>
                  </c:pt>
                  <c:pt idx="4">
                    <c:v>2.0932709155409022</c:v>
                  </c:pt>
                  <c:pt idx="5">
                    <c:v>2.0794978418400523</c:v>
                  </c:pt>
                  <c:pt idx="6">
                    <c:v>1.5742829608747178</c:v>
                  </c:pt>
                  <c:pt idx="7">
                    <c:v>7.5857929048318753E-4</c:v>
                  </c:pt>
                  <c:pt idx="8">
                    <c:v>4.6915546841187495E-4</c:v>
                  </c:pt>
                  <c:pt idx="10">
                    <c:v>5.0214758173454115</c:v>
                  </c:pt>
                  <c:pt idx="11">
                    <c:v>3.6705303332156816</c:v>
                  </c:pt>
                  <c:pt idx="12">
                    <c:v>3.3245866246375022</c:v>
                  </c:pt>
                  <c:pt idx="13">
                    <c:v>2.6900260763725941</c:v>
                  </c:pt>
                  <c:pt idx="14">
                    <c:v>3.3312635294700077</c:v>
                  </c:pt>
                  <c:pt idx="15">
                    <c:v>2.9135168866847181</c:v>
                  </c:pt>
                  <c:pt idx="16">
                    <c:v>3.1860289281219338</c:v>
                  </c:pt>
                  <c:pt idx="17">
                    <c:v>2.118645365279535</c:v>
                  </c:pt>
                  <c:pt idx="18">
                    <c:v>1.9127647391943046</c:v>
                  </c:pt>
                  <c:pt idx="20">
                    <c:v>5.1326711418902065</c:v>
                  </c:pt>
                  <c:pt idx="21">
                    <c:v>3.7913712221137392</c:v>
                  </c:pt>
                  <c:pt idx="22">
                    <c:v>3.5318208937628754</c:v>
                  </c:pt>
                  <c:pt idx="23">
                    <c:v>3.0662432950389791</c:v>
                  </c:pt>
                  <c:pt idx="24">
                    <c:v>3.8785211099402788</c:v>
                  </c:pt>
                  <c:pt idx="25">
                    <c:v>3.5441877439846881</c:v>
                  </c:pt>
                  <c:pt idx="26">
                    <c:v>3.5493117543606703</c:v>
                  </c:pt>
                  <c:pt idx="27">
                    <c:v>2.25596572785622</c:v>
                  </c:pt>
                  <c:pt idx="28">
                    <c:v>1.9696762805342407</c:v>
                  </c:pt>
                </c:numCache>
              </c:numRef>
            </c:plus>
            <c:minus>
              <c:numRef>
                <c:f>'Section 2 data'!$G$58:$G$86</c:f>
                <c:numCache>
                  <c:formatCode>General</c:formatCode>
                  <c:ptCount val="29"/>
                  <c:pt idx="0">
                    <c:v>1.1567573978138084</c:v>
                  </c:pt>
                  <c:pt idx="1">
                    <c:v>0.90450366718369724</c:v>
                  </c:pt>
                  <c:pt idx="2">
                    <c:v>1.2066363716669073</c:v>
                  </c:pt>
                  <c:pt idx="3">
                    <c:v>1.4706045448730019</c:v>
                  </c:pt>
                  <c:pt idx="4">
                    <c:v>2.0932709155409022</c:v>
                  </c:pt>
                  <c:pt idx="5">
                    <c:v>2.0794978418400523</c:v>
                  </c:pt>
                  <c:pt idx="6">
                    <c:v>1.5742829608747178</c:v>
                  </c:pt>
                  <c:pt idx="7">
                    <c:v>7.5857929048318753E-4</c:v>
                  </c:pt>
                  <c:pt idx="8">
                    <c:v>4.6915546841187495E-4</c:v>
                  </c:pt>
                  <c:pt idx="10">
                    <c:v>5.0214758173454115</c:v>
                  </c:pt>
                  <c:pt idx="11">
                    <c:v>3.6705303332156816</c:v>
                  </c:pt>
                  <c:pt idx="12">
                    <c:v>3.3245866246375022</c:v>
                  </c:pt>
                  <c:pt idx="13">
                    <c:v>2.6900260763725941</c:v>
                  </c:pt>
                  <c:pt idx="14">
                    <c:v>3.3312635294700077</c:v>
                  </c:pt>
                  <c:pt idx="15">
                    <c:v>2.9135168866847181</c:v>
                  </c:pt>
                  <c:pt idx="16">
                    <c:v>3.1860289281219338</c:v>
                  </c:pt>
                  <c:pt idx="17">
                    <c:v>2.118645365279535</c:v>
                  </c:pt>
                  <c:pt idx="18">
                    <c:v>1.9127647391943046</c:v>
                  </c:pt>
                  <c:pt idx="20">
                    <c:v>5.1326711418902065</c:v>
                  </c:pt>
                  <c:pt idx="21">
                    <c:v>3.7913712221137392</c:v>
                  </c:pt>
                  <c:pt idx="22">
                    <c:v>3.5318208937628754</c:v>
                  </c:pt>
                  <c:pt idx="23">
                    <c:v>3.0662432950389791</c:v>
                  </c:pt>
                  <c:pt idx="24">
                    <c:v>3.8785211099402788</c:v>
                  </c:pt>
                  <c:pt idx="25">
                    <c:v>3.5441877439846881</c:v>
                  </c:pt>
                  <c:pt idx="26">
                    <c:v>3.5493117543606703</c:v>
                  </c:pt>
                  <c:pt idx="27">
                    <c:v>2.25596572785622</c:v>
                  </c:pt>
                  <c:pt idx="28">
                    <c:v>1.9696762805342407</c:v>
                  </c:pt>
                </c:numCache>
              </c:numRef>
            </c:minus>
          </c:errBars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data'!$E$58:$E$86</c:f>
              <c:numCache>
                <c:formatCode>#,##0.0</c:formatCode>
                <c:ptCount val="29"/>
                <c:pt idx="0">
                  <c:v>8.3955500000000001</c:v>
                </c:pt>
                <c:pt idx="1">
                  <c:v>7.3199599999999991</c:v>
                </c:pt>
                <c:pt idx="2">
                  <c:v>12.887109999999998</c:v>
                </c:pt>
                <c:pt idx="3">
                  <c:v>20.87013</c:v>
                </c:pt>
                <c:pt idx="4">
                  <c:v>50.029089999999997</c:v>
                </c:pt>
                <c:pt idx="5">
                  <c:v>45.473959999999991</c:v>
                </c:pt>
                <c:pt idx="6">
                  <c:v>26.997049999999998</c:v>
                </c:pt>
                <c:pt idx="7">
                  <c:v>3.6102299999999996</c:v>
                </c:pt>
                <c:pt idx="8">
                  <c:v>1.9712000000000001</c:v>
                </c:pt>
                <c:pt idx="10">
                  <c:v>123.81151</c:v>
                </c:pt>
                <c:pt idx="11">
                  <c:v>153.90060999999997</c:v>
                </c:pt>
                <c:pt idx="12">
                  <c:v>118.71392999999999</c:v>
                </c:pt>
                <c:pt idx="13">
                  <c:v>84.814849999999993</c:v>
                </c:pt>
                <c:pt idx="14">
                  <c:v>122.74942999999999</c:v>
                </c:pt>
                <c:pt idx="15">
                  <c:v>80.58108</c:v>
                </c:pt>
                <c:pt idx="16">
                  <c:v>95.762619999999998</c:v>
                </c:pt>
                <c:pt idx="17">
                  <c:v>36.381550000000004</c:v>
                </c:pt>
                <c:pt idx="18">
                  <c:v>22.115099999999998</c:v>
                </c:pt>
                <c:pt idx="20">
                  <c:v>132.24871999999999</c:v>
                </c:pt>
                <c:pt idx="21">
                  <c:v>161.34562</c:v>
                </c:pt>
                <c:pt idx="22">
                  <c:v>131.83850000000001</c:v>
                </c:pt>
                <c:pt idx="23">
                  <c:v>105.90535000000001</c:v>
                </c:pt>
                <c:pt idx="24">
                  <c:v>172.49074999999999</c:v>
                </c:pt>
                <c:pt idx="25">
                  <c:v>125.96865</c:v>
                </c:pt>
                <c:pt idx="26">
                  <c:v>122.6575</c:v>
                </c:pt>
                <c:pt idx="27">
                  <c:v>39.798159999999996</c:v>
                </c:pt>
                <c:pt idx="28">
                  <c:v>24.118879999999997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87744"/>
        <c:axId val="28289280"/>
      </c:barChart>
      <c:catAx>
        <c:axId val="282877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8289280"/>
        <c:crosses val="autoZero"/>
        <c:auto val="1"/>
        <c:lblAlgn val="ctr"/>
        <c:lblOffset val="100"/>
        <c:noMultiLvlLbl val="0"/>
      </c:catAx>
      <c:valAx>
        <c:axId val="28289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287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4486136296332359"/>
          <c:y val="0.45323127783794348"/>
          <c:w val="8.9193248061921165E-2"/>
          <c:h val="7.8370152024688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Clearfell area </a:t>
            </a:r>
            <a:r>
              <a:rPr lang="en-GB" baseline="0"/>
              <a:t>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country'!$C$27:$C$40</c:f>
              <c:numCache>
                <c:formatCode>#,##0.0</c:formatCode>
                <c:ptCount val="14"/>
                <c:pt idx="0">
                  <c:v>1.17967</c:v>
                </c:pt>
                <c:pt idx="1">
                  <c:v>0.57008999999999999</c:v>
                </c:pt>
                <c:pt idx="2">
                  <c:v>0.68840000000000001</c:v>
                </c:pt>
                <c:pt idx="3">
                  <c:v>0.33438999999999997</c:v>
                </c:pt>
                <c:pt idx="4">
                  <c:v>1.443E-2</c:v>
                </c:pt>
                <c:pt idx="5">
                  <c:v>3.6900000000000001E-3</c:v>
                </c:pt>
                <c:pt idx="6">
                  <c:v>6.0729999999999999E-2</c:v>
                </c:pt>
                <c:pt idx="7">
                  <c:v>0.19596</c:v>
                </c:pt>
                <c:pt idx="8">
                  <c:v>2.3097399999999997</c:v>
                </c:pt>
                <c:pt idx="9">
                  <c:v>0.54664999999999997</c:v>
                </c:pt>
                <c:pt idx="10">
                  <c:v>0.21093999999999999</c:v>
                </c:pt>
                <c:pt idx="11">
                  <c:v>0.21414</c:v>
                </c:pt>
                <c:pt idx="12">
                  <c:v>0.92698000000000003</c:v>
                </c:pt>
                <c:pt idx="13">
                  <c:v>1.2385299999999999</c:v>
                </c:pt>
              </c:numCache>
            </c:numRef>
          </c:val>
        </c:ser>
        <c:ser>
          <c:idx val="1"/>
          <c:order val="1"/>
          <c:tx>
            <c:strRef>
              <c:f>'Section 2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plus>
            <c:minus>
              <c:numRef>
                <c:f>'Section 2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minus>
          </c:errBars>
          <c:cat>
            <c:strRef>
              <c:f>'Section 2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country'!$D$27:$D$40</c:f>
              <c:numCache>
                <c:formatCode>#,##0.0</c:formatCode>
                <c:ptCount val="14"/>
                <c:pt idx="0">
                  <c:v>1.3520699999999999</c:v>
                </c:pt>
                <c:pt idx="1">
                  <c:v>0.81649000000000005</c:v>
                </c:pt>
                <c:pt idx="2">
                  <c:v>0.85301000000000005</c:v>
                </c:pt>
                <c:pt idx="3">
                  <c:v>0.29669999999999996</c:v>
                </c:pt>
                <c:pt idx="4">
                  <c:v>3.2640000000000002E-2</c:v>
                </c:pt>
                <c:pt idx="5">
                  <c:v>0.11069</c:v>
                </c:pt>
                <c:pt idx="6">
                  <c:v>0.78816999999999993</c:v>
                </c:pt>
                <c:pt idx="7">
                  <c:v>0.19735</c:v>
                </c:pt>
                <c:pt idx="8">
                  <c:v>1.63391</c:v>
                </c:pt>
                <c:pt idx="9">
                  <c:v>0.54794000000000009</c:v>
                </c:pt>
                <c:pt idx="10">
                  <c:v>0.76591999999999993</c:v>
                </c:pt>
                <c:pt idx="11">
                  <c:v>0.41102</c:v>
                </c:pt>
                <c:pt idx="12">
                  <c:v>0.36718000000000001</c:v>
                </c:pt>
                <c:pt idx="13">
                  <c:v>1.6702399999999999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06016"/>
        <c:axId val="27207552"/>
      </c:barChart>
      <c:catAx>
        <c:axId val="27206016"/>
        <c:scaling>
          <c:orientation val="maxMin"/>
        </c:scaling>
        <c:delete val="0"/>
        <c:axPos val="l"/>
        <c:majorTickMark val="out"/>
        <c:minorTickMark val="none"/>
        <c:tickLblPos val="nextTo"/>
        <c:crossAx val="27207552"/>
        <c:crosses val="autoZero"/>
        <c:auto val="1"/>
        <c:lblAlgn val="ctr"/>
        <c:lblOffset val="100"/>
        <c:tickLblSkip val="1"/>
        <c:noMultiLvlLbl val="0"/>
      </c:catAx>
      <c:valAx>
        <c:axId val="27207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272060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2'!$B$7:$B$8</c:f>
              <c:strCache>
                <c:ptCount val="2"/>
                <c:pt idx="0">
                  <c:v>Forestry Commission</c:v>
                </c:pt>
                <c:pt idx="1">
                  <c:v>Other ownership</c:v>
                </c:pt>
              </c:strCache>
            </c:strRef>
          </c:cat>
          <c:val>
            <c:numRef>
              <c:f>'Table 2'!$C$7:$C$8</c:f>
              <c:numCache>
                <c:formatCode>#,##0</c:formatCode>
                <c:ptCount val="2"/>
                <c:pt idx="0">
                  <c:v>214420.32243478103</c:v>
                </c:pt>
                <c:pt idx="1">
                  <c:v>1083245.265327197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 country'!$C$24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2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country'!$C$27:$C$40</c:f>
              <c:numCache>
                <c:formatCode>#,##0.0</c:formatCode>
                <c:ptCount val="14"/>
                <c:pt idx="0">
                  <c:v>1.17967</c:v>
                </c:pt>
                <c:pt idx="1">
                  <c:v>0.57008999999999999</c:v>
                </c:pt>
                <c:pt idx="2">
                  <c:v>0.68840000000000001</c:v>
                </c:pt>
                <c:pt idx="3">
                  <c:v>0.33438999999999997</c:v>
                </c:pt>
                <c:pt idx="4">
                  <c:v>1.443E-2</c:v>
                </c:pt>
                <c:pt idx="5">
                  <c:v>3.6900000000000001E-3</c:v>
                </c:pt>
                <c:pt idx="6">
                  <c:v>6.0729999999999999E-2</c:v>
                </c:pt>
                <c:pt idx="7">
                  <c:v>0.19596</c:v>
                </c:pt>
                <c:pt idx="8">
                  <c:v>2.3097399999999997</c:v>
                </c:pt>
                <c:pt idx="9">
                  <c:v>0.54664999999999997</c:v>
                </c:pt>
                <c:pt idx="10">
                  <c:v>0.21093999999999999</c:v>
                </c:pt>
                <c:pt idx="11">
                  <c:v>0.21414</c:v>
                </c:pt>
                <c:pt idx="12">
                  <c:v>0.92698000000000003</c:v>
                </c:pt>
                <c:pt idx="13">
                  <c:v>1.2385299999999999</c:v>
                </c:pt>
              </c:numCache>
            </c:numRef>
          </c:val>
        </c:ser>
        <c:ser>
          <c:idx val="1"/>
          <c:order val="1"/>
          <c:tx>
            <c:strRef>
              <c:f>'Section 2 data country'!$D$24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plus>
            <c:minus>
              <c:numRef>
                <c:f>'Section 2 data country'!$P$27:$P$40</c:f>
                <c:numCache>
                  <c:formatCode>General</c:formatCode>
                  <c:ptCount val="14"/>
                  <c:pt idx="0">
                    <c:v>0.42387394499999997</c:v>
                  </c:pt>
                  <c:pt idx="1">
                    <c:v>0.29303826100000002</c:v>
                  </c:pt>
                  <c:pt idx="2">
                    <c:v>0.42693150499999999</c:v>
                  </c:pt>
                  <c:pt idx="3">
                    <c:v>0.23970392999999998</c:v>
                  </c:pt>
                  <c:pt idx="4">
                    <c:v>3.0472704000000003E-2</c:v>
                  </c:pt>
                  <c:pt idx="5">
                    <c:v>8.913865700000001E-2</c:v>
                  </c:pt>
                  <c:pt idx="6">
                    <c:v>0.38659738499999996</c:v>
                  </c:pt>
                  <c:pt idx="7">
                    <c:v>0.10167472</c:v>
                  </c:pt>
                  <c:pt idx="8">
                    <c:v>0.61484033299999996</c:v>
                  </c:pt>
                  <c:pt idx="9">
                    <c:v>0.20432682600000004</c:v>
                  </c:pt>
                  <c:pt idx="10">
                    <c:v>0.34359171199999999</c:v>
                  </c:pt>
                  <c:pt idx="11">
                    <c:v>0.17657419199999999</c:v>
                  </c:pt>
                  <c:pt idx="12">
                    <c:v>0.17430034599999999</c:v>
                  </c:pt>
                  <c:pt idx="13">
                    <c:v>0.41472059199999994</c:v>
                  </c:pt>
                </c:numCache>
              </c:numRef>
            </c:minus>
          </c:errBars>
          <c:cat>
            <c:strRef>
              <c:f>'Section 2 data country'!$B$27:$B$40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2 data country'!$D$27:$D$40</c:f>
              <c:numCache>
                <c:formatCode>#,##0.0</c:formatCode>
                <c:ptCount val="14"/>
                <c:pt idx="0">
                  <c:v>1.3520699999999999</c:v>
                </c:pt>
                <c:pt idx="1">
                  <c:v>0.81649000000000005</c:v>
                </c:pt>
                <c:pt idx="2">
                  <c:v>0.85301000000000005</c:v>
                </c:pt>
                <c:pt idx="3">
                  <c:v>0.29669999999999996</c:v>
                </c:pt>
                <c:pt idx="4">
                  <c:v>3.2640000000000002E-2</c:v>
                </c:pt>
                <c:pt idx="5">
                  <c:v>0.11069</c:v>
                </c:pt>
                <c:pt idx="6">
                  <c:v>0.78816999999999993</c:v>
                </c:pt>
                <c:pt idx="7">
                  <c:v>0.19735</c:v>
                </c:pt>
                <c:pt idx="8">
                  <c:v>1.63391</c:v>
                </c:pt>
                <c:pt idx="9">
                  <c:v>0.54794000000000009</c:v>
                </c:pt>
                <c:pt idx="10">
                  <c:v>0.76591999999999993</c:v>
                </c:pt>
                <c:pt idx="11">
                  <c:v>0.41102</c:v>
                </c:pt>
                <c:pt idx="12">
                  <c:v>0.36718000000000001</c:v>
                </c:pt>
                <c:pt idx="13">
                  <c:v>1.6702399999999999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340224"/>
        <c:axId val="28341760"/>
      </c:barChart>
      <c:catAx>
        <c:axId val="283402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8341760"/>
        <c:crosses val="autoZero"/>
        <c:auto val="1"/>
        <c:lblAlgn val="ctr"/>
        <c:lblOffset val="100"/>
        <c:tickLblSkip val="1"/>
        <c:noMultiLvlLbl val="0"/>
      </c:catAx>
      <c:valAx>
        <c:axId val="28341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Area (000 ha)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8340224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Simplified</a:t>
            </a:r>
            <a:r>
              <a:rPr lang="en-GB" sz="1800" b="1" baseline="0">
                <a:effectLst/>
              </a:rPr>
              <a:t> c</a:t>
            </a:r>
            <a:r>
              <a:rPr lang="en-GB" sz="1800" b="1">
                <a:effectLst/>
              </a:rPr>
              <a:t>omparison of mapped area estimates and stocked area estimates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16222057429312"/>
          <c:y val="8.7764460400930583E-2"/>
          <c:w val="0.72857618388737633"/>
          <c:h val="0.388980673257689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 Table 17'!$B$8</c:f>
              <c:strCache>
                <c:ptCount val="1"/>
                <c:pt idx="0">
                  <c:v>Broadleaved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17'!$C$5:$D$5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'Eng Table 17'!$C$8:$D$8</c:f>
              <c:numCache>
                <c:formatCode>#,##0.0</c:formatCode>
                <c:ptCount val="2"/>
                <c:pt idx="0">
                  <c:v>809.12319503218373</c:v>
                </c:pt>
                <c:pt idx="1">
                  <c:v>892.49155999999994</c:v>
                </c:pt>
              </c:numCache>
            </c:numRef>
          </c:val>
        </c:ser>
        <c:ser>
          <c:idx val="1"/>
          <c:order val="1"/>
          <c:tx>
            <c:strRef>
              <c:f>'Eng Table 17'!$B$9</c:f>
              <c:strCache>
                <c:ptCount val="1"/>
                <c:pt idx="0">
                  <c:v>Conifer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17'!$C$5:$D$5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'Eng Table 17'!$C$9:$D$9</c:f>
              <c:numCache>
                <c:formatCode>#,##0.0</c:formatCode>
                <c:ptCount val="2"/>
                <c:pt idx="0">
                  <c:v>344.44808717062631</c:v>
                </c:pt>
                <c:pt idx="1">
                  <c:v>305.06689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592768"/>
        <c:axId val="28598656"/>
      </c:barChart>
      <c:catAx>
        <c:axId val="28592768"/>
        <c:scaling>
          <c:orientation val="maxMin"/>
        </c:scaling>
        <c:delete val="0"/>
        <c:axPos val="l"/>
        <c:majorTickMark val="out"/>
        <c:minorTickMark val="none"/>
        <c:tickLblPos val="nextTo"/>
        <c:crossAx val="28598656"/>
        <c:crosses val="autoZero"/>
        <c:auto val="1"/>
        <c:lblAlgn val="ctr"/>
        <c:lblOffset val="100"/>
        <c:noMultiLvlLbl val="0"/>
      </c:catAx>
      <c:valAx>
        <c:axId val="28598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5927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6222057429312"/>
          <c:y val="8.7764460400930583E-2"/>
          <c:w val="0.72857618388737633"/>
          <c:h val="0.388980673257689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 Table 17'!$B$8</c:f>
              <c:strCache>
                <c:ptCount val="1"/>
                <c:pt idx="0">
                  <c:v>Broadleaved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17'!$C$5:$D$5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'Eng Table 17'!$C$8:$D$8</c:f>
              <c:numCache>
                <c:formatCode>#,##0.0</c:formatCode>
                <c:ptCount val="2"/>
                <c:pt idx="0">
                  <c:v>809.12319503218373</c:v>
                </c:pt>
                <c:pt idx="1">
                  <c:v>892.49155999999994</c:v>
                </c:pt>
              </c:numCache>
            </c:numRef>
          </c:val>
        </c:ser>
        <c:ser>
          <c:idx val="1"/>
          <c:order val="1"/>
          <c:tx>
            <c:strRef>
              <c:f>'Eng Table 17'!$B$9</c:f>
              <c:strCache>
                <c:ptCount val="1"/>
                <c:pt idx="0">
                  <c:v>Conifer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17'!$C$5:$D$5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'Eng Table 17'!$C$9:$D$9</c:f>
              <c:numCache>
                <c:formatCode>#,##0.0</c:formatCode>
                <c:ptCount val="2"/>
                <c:pt idx="0">
                  <c:v>344.44808717062631</c:v>
                </c:pt>
                <c:pt idx="1">
                  <c:v>305.06689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124480"/>
        <c:axId val="29126016"/>
      </c:barChart>
      <c:catAx>
        <c:axId val="29124480"/>
        <c:scaling>
          <c:orientation val="maxMin"/>
        </c:scaling>
        <c:delete val="0"/>
        <c:axPos val="l"/>
        <c:majorTickMark val="out"/>
        <c:minorTickMark val="none"/>
        <c:tickLblPos val="nextTo"/>
        <c:crossAx val="29126016"/>
        <c:crosses val="autoZero"/>
        <c:auto val="1"/>
        <c:lblAlgn val="ctr"/>
        <c:lblOffset val="100"/>
        <c:noMultiLvlLbl val="0"/>
      </c:catAx>
      <c:valAx>
        <c:axId val="29126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9124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7471506428184165"/>
          <c:y val="0.24759630951453493"/>
          <c:w val="0.1252849357181583"/>
          <c:h val="0.1520403879828789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Standing volume by principal tree species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3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3 data'!$H$8:$H$26</c:f>
              <c:numCache>
                <c:formatCode>#,##0</c:formatCode>
                <c:ptCount val="19"/>
                <c:pt idx="0">
                  <c:v>20116.415000000001</c:v>
                </c:pt>
                <c:pt idx="1">
                  <c:v>18734.437000000002</c:v>
                </c:pt>
                <c:pt idx="2">
                  <c:v>10195.32</c:v>
                </c:pt>
                <c:pt idx="3">
                  <c:v>8655.0169999999998</c:v>
                </c:pt>
                <c:pt idx="4">
                  <c:v>12456.003000000001</c:v>
                </c:pt>
                <c:pt idx="5">
                  <c:v>9025.8790000000008</c:v>
                </c:pt>
                <c:pt idx="6">
                  <c:v>1825.713</c:v>
                </c:pt>
                <c:pt idx="7">
                  <c:v>8946.871000000001</c:v>
                </c:pt>
                <c:pt idx="8">
                  <c:v>54230.481999999996</c:v>
                </c:pt>
                <c:pt idx="9">
                  <c:v>21975.522000000001</c:v>
                </c:pt>
                <c:pt idx="10">
                  <c:v>16403.775000000001</c:v>
                </c:pt>
                <c:pt idx="11">
                  <c:v>29721.885000000002</c:v>
                </c:pt>
                <c:pt idx="12">
                  <c:v>11888.91</c:v>
                </c:pt>
                <c:pt idx="13">
                  <c:v>8071.11</c:v>
                </c:pt>
                <c:pt idx="14">
                  <c:v>4764.0969999999998</c:v>
                </c:pt>
                <c:pt idx="15">
                  <c:v>2644.7330000000002</c:v>
                </c:pt>
                <c:pt idx="16">
                  <c:v>6763.4089999999997</c:v>
                </c:pt>
                <c:pt idx="17">
                  <c:v>4748.2470000000003</c:v>
                </c:pt>
                <c:pt idx="18">
                  <c:v>16788.884999999998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956544"/>
        <c:axId val="28954624"/>
      </c:barChart>
      <c:valAx>
        <c:axId val="28954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</a:t>
                </a:r>
                <a:r>
                  <a:rPr lang="en-US" baseline="0"/>
                  <a:t> volume </a:t>
                </a:r>
                <a:r>
                  <a:rPr lang="en-US"/>
                  <a:t>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28956544"/>
        <c:crosses val="max"/>
        <c:crossBetween val="between"/>
      </c:valAx>
      <c:catAx>
        <c:axId val="28956544"/>
        <c:scaling>
          <c:orientation val="maxMin"/>
        </c:scaling>
        <c:delete val="0"/>
        <c:axPos val="l"/>
        <c:majorTickMark val="out"/>
        <c:minorTickMark val="none"/>
        <c:tickLblPos val="nextTo"/>
        <c:crossAx val="289546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8.740841522458305E-2"/>
          <c:w val="0.63771113409169256"/>
          <c:h val="0.78547304791531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3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3 data'!$H$8:$H$26</c:f>
              <c:numCache>
                <c:formatCode>#,##0</c:formatCode>
                <c:ptCount val="19"/>
                <c:pt idx="0">
                  <c:v>20116.415000000001</c:v>
                </c:pt>
                <c:pt idx="1">
                  <c:v>18734.437000000002</c:v>
                </c:pt>
                <c:pt idx="2">
                  <c:v>10195.32</c:v>
                </c:pt>
                <c:pt idx="3">
                  <c:v>8655.0169999999998</c:v>
                </c:pt>
                <c:pt idx="4">
                  <c:v>12456.003000000001</c:v>
                </c:pt>
                <c:pt idx="5">
                  <c:v>9025.8790000000008</c:v>
                </c:pt>
                <c:pt idx="6">
                  <c:v>1825.713</c:v>
                </c:pt>
                <c:pt idx="7">
                  <c:v>8946.871000000001</c:v>
                </c:pt>
                <c:pt idx="8">
                  <c:v>54230.481999999996</c:v>
                </c:pt>
                <c:pt idx="9">
                  <c:v>21975.522000000001</c:v>
                </c:pt>
                <c:pt idx="10">
                  <c:v>16403.775000000001</c:v>
                </c:pt>
                <c:pt idx="11">
                  <c:v>29721.885000000002</c:v>
                </c:pt>
                <c:pt idx="12">
                  <c:v>11888.91</c:v>
                </c:pt>
                <c:pt idx="13">
                  <c:v>8071.11</c:v>
                </c:pt>
                <c:pt idx="14">
                  <c:v>4764.0969999999998</c:v>
                </c:pt>
                <c:pt idx="15">
                  <c:v>2644.7330000000002</c:v>
                </c:pt>
                <c:pt idx="16">
                  <c:v>6763.4089999999997</c:v>
                </c:pt>
                <c:pt idx="17">
                  <c:v>4748.2470000000003</c:v>
                </c:pt>
                <c:pt idx="18">
                  <c:v>16788.884999999998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879872"/>
        <c:axId val="28877952"/>
      </c:barChart>
      <c:valAx>
        <c:axId val="28877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879872"/>
        <c:crosses val="max"/>
        <c:crossBetween val="between"/>
      </c:valAx>
      <c:catAx>
        <c:axId val="28879872"/>
        <c:scaling>
          <c:orientation val="maxMin"/>
        </c:scaling>
        <c:delete val="0"/>
        <c:axPos val="l"/>
        <c:majorTickMark val="out"/>
        <c:minorTickMark val="none"/>
        <c:tickLblPos val="nextTo"/>
        <c:crossAx val="288779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standing volume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3 data'!$H$8:$H$15</c:f>
              <c:numCache>
                <c:formatCode>#,##0</c:formatCode>
                <c:ptCount val="8"/>
                <c:pt idx="0">
                  <c:v>20116.415000000001</c:v>
                </c:pt>
                <c:pt idx="1">
                  <c:v>18734.437000000002</c:v>
                </c:pt>
                <c:pt idx="2">
                  <c:v>10195.32</c:v>
                </c:pt>
                <c:pt idx="3">
                  <c:v>8655.0169999999998</c:v>
                </c:pt>
                <c:pt idx="4">
                  <c:v>12456.003000000001</c:v>
                </c:pt>
                <c:pt idx="5">
                  <c:v>9025.8790000000008</c:v>
                </c:pt>
                <c:pt idx="6">
                  <c:v>1825.713</c:v>
                </c:pt>
                <c:pt idx="7">
                  <c:v>8946.871000000001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3 data'!$H$8:$H$15</c:f>
              <c:numCache>
                <c:formatCode>#,##0</c:formatCode>
                <c:ptCount val="8"/>
                <c:pt idx="0">
                  <c:v>20116.415000000001</c:v>
                </c:pt>
                <c:pt idx="1">
                  <c:v>18734.437000000002</c:v>
                </c:pt>
                <c:pt idx="2">
                  <c:v>10195.32</c:v>
                </c:pt>
                <c:pt idx="3">
                  <c:v>8655.0169999999998</c:v>
                </c:pt>
                <c:pt idx="4">
                  <c:v>12456.003000000001</c:v>
                </c:pt>
                <c:pt idx="5">
                  <c:v>9025.8790000000008</c:v>
                </c:pt>
                <c:pt idx="6">
                  <c:v>1825.713</c:v>
                </c:pt>
                <c:pt idx="7">
                  <c:v>8946.871000000001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standing volume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3 data'!$H$16:$H$26</c:f>
              <c:numCache>
                <c:formatCode>#,##0</c:formatCode>
                <c:ptCount val="11"/>
                <c:pt idx="0">
                  <c:v>54230.481999999996</c:v>
                </c:pt>
                <c:pt idx="1">
                  <c:v>21975.522000000001</c:v>
                </c:pt>
                <c:pt idx="2">
                  <c:v>16403.775000000001</c:v>
                </c:pt>
                <c:pt idx="3">
                  <c:v>29721.885000000002</c:v>
                </c:pt>
                <c:pt idx="4">
                  <c:v>11888.91</c:v>
                </c:pt>
                <c:pt idx="5">
                  <c:v>8071.11</c:v>
                </c:pt>
                <c:pt idx="6">
                  <c:v>4764.0969999999998</c:v>
                </c:pt>
                <c:pt idx="7">
                  <c:v>2644.7330000000002</c:v>
                </c:pt>
                <c:pt idx="8">
                  <c:v>6763.4089999999997</c:v>
                </c:pt>
                <c:pt idx="9">
                  <c:v>4748.2470000000003</c:v>
                </c:pt>
                <c:pt idx="10">
                  <c:v>16788.884999999998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3 data'!$H$16:$H$26</c:f>
              <c:numCache>
                <c:formatCode>#,##0</c:formatCode>
                <c:ptCount val="11"/>
                <c:pt idx="0">
                  <c:v>54230.481999999996</c:v>
                </c:pt>
                <c:pt idx="1">
                  <c:v>21975.522000000001</c:v>
                </c:pt>
                <c:pt idx="2">
                  <c:v>16403.775000000001</c:v>
                </c:pt>
                <c:pt idx="3">
                  <c:v>29721.885000000002</c:v>
                </c:pt>
                <c:pt idx="4">
                  <c:v>11888.91</c:v>
                </c:pt>
                <c:pt idx="5">
                  <c:v>8071.11</c:v>
                </c:pt>
                <c:pt idx="6">
                  <c:v>4764.0969999999998</c:v>
                </c:pt>
                <c:pt idx="7">
                  <c:v>2644.7330000000002</c:v>
                </c:pt>
                <c:pt idx="8">
                  <c:v>6763.4089999999997</c:v>
                </c:pt>
                <c:pt idx="9">
                  <c:v>4748.2470000000003</c:v>
                </c:pt>
                <c:pt idx="10">
                  <c:v>16788.884999999998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Standing</a:t>
            </a:r>
            <a:r>
              <a:rPr lang="en-GB" baseline="0"/>
              <a:t> volume</a:t>
            </a:r>
            <a:r>
              <a:rPr lang="en-GB"/>
              <a:t> of</a:t>
            </a:r>
            <a:r>
              <a:rPr lang="en-GB" baseline="0"/>
              <a:t> all conifers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country'!$G$7:$G$20</c:f>
              <c:numCache>
                <c:formatCode>#,##0</c:formatCode>
                <c:ptCount val="14"/>
                <c:pt idx="0">
                  <c:v>2712.08</c:v>
                </c:pt>
                <c:pt idx="1">
                  <c:v>1821.8979999999999</c:v>
                </c:pt>
                <c:pt idx="2">
                  <c:v>3382.819</c:v>
                </c:pt>
                <c:pt idx="3">
                  <c:v>1088.232</c:v>
                </c:pt>
                <c:pt idx="4">
                  <c:v>128.36199999999999</c:v>
                </c:pt>
                <c:pt idx="5">
                  <c:v>50.957999999999998</c:v>
                </c:pt>
                <c:pt idx="6">
                  <c:v>536.35400000000004</c:v>
                </c:pt>
                <c:pt idx="7">
                  <c:v>701.005</c:v>
                </c:pt>
                <c:pt idx="8">
                  <c:v>6610.5060000000003</c:v>
                </c:pt>
                <c:pt idx="9">
                  <c:v>2183.2530000000002</c:v>
                </c:pt>
                <c:pt idx="10">
                  <c:v>273.46699999999998</c:v>
                </c:pt>
                <c:pt idx="11">
                  <c:v>1422.7909999999999</c:v>
                </c:pt>
                <c:pt idx="12">
                  <c:v>3057.8180000000002</c:v>
                </c:pt>
                <c:pt idx="13">
                  <c:v>2406.424</c:v>
                </c:pt>
              </c:numCache>
            </c:numRef>
          </c:val>
        </c:ser>
        <c:ser>
          <c:idx val="1"/>
          <c:order val="1"/>
          <c:tx>
            <c:strRef>
              <c:f>'Section 3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country'!$Q$7:$Q$20</c:f>
                <c:numCache>
                  <c:formatCode>General</c:formatCode>
                  <c:ptCount val="14"/>
                  <c:pt idx="0">
                    <c:v>441.11527199999995</c:v>
                  </c:pt>
                  <c:pt idx="1">
                    <c:v>459.07022699999999</c:v>
                  </c:pt>
                  <c:pt idx="2">
                    <c:v>321.0517706</c:v>
                  </c:pt>
                  <c:pt idx="3">
                    <c:v>305.76399839999999</c:v>
                  </c:pt>
                  <c:pt idx="4">
                    <c:v>113.56480799999997</c:v>
                  </c:pt>
                  <c:pt idx="5">
                    <c:v>165.573926</c:v>
                  </c:pt>
                  <c:pt idx="6">
                    <c:v>293.27707540000006</c:v>
                  </c:pt>
                  <c:pt idx="7">
                    <c:v>143.08959350000001</c:v>
                  </c:pt>
                  <c:pt idx="8">
                    <c:v>627.35562039999991</c:v>
                  </c:pt>
                  <c:pt idx="9">
                    <c:v>303.51739320000001</c:v>
                  </c:pt>
                  <c:pt idx="10">
                    <c:v>359.44916000000006</c:v>
                  </c:pt>
                  <c:pt idx="11">
                    <c:v>520.53456080000001</c:v>
                  </c:pt>
                  <c:pt idx="12">
                    <c:v>812.36617889999991</c:v>
                  </c:pt>
                  <c:pt idx="13">
                    <c:v>365.85225360000004</c:v>
                  </c:pt>
                </c:numCache>
              </c:numRef>
            </c:plus>
            <c:minus>
              <c:numRef>
                <c:f>'Section 3 data country'!$Q$7:$Q$20</c:f>
                <c:numCache>
                  <c:formatCode>General</c:formatCode>
                  <c:ptCount val="14"/>
                  <c:pt idx="0">
                    <c:v>441.11527199999995</c:v>
                  </c:pt>
                  <c:pt idx="1">
                    <c:v>459.07022699999999</c:v>
                  </c:pt>
                  <c:pt idx="2">
                    <c:v>321.0517706</c:v>
                  </c:pt>
                  <c:pt idx="3">
                    <c:v>305.76399839999999</c:v>
                  </c:pt>
                  <c:pt idx="4">
                    <c:v>113.56480799999997</c:v>
                  </c:pt>
                  <c:pt idx="5">
                    <c:v>165.573926</c:v>
                  </c:pt>
                  <c:pt idx="6">
                    <c:v>293.27707540000006</c:v>
                  </c:pt>
                  <c:pt idx="7">
                    <c:v>143.08959350000001</c:v>
                  </c:pt>
                  <c:pt idx="8">
                    <c:v>627.35562039999991</c:v>
                  </c:pt>
                  <c:pt idx="9">
                    <c:v>303.51739320000001</c:v>
                  </c:pt>
                  <c:pt idx="10">
                    <c:v>359.44916000000006</c:v>
                  </c:pt>
                  <c:pt idx="11">
                    <c:v>520.53456080000001</c:v>
                  </c:pt>
                  <c:pt idx="12">
                    <c:v>812.36617889999991</c:v>
                  </c:pt>
                  <c:pt idx="13">
                    <c:v>365.85225360000004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country'!$H$7:$H$20</c:f>
              <c:numCache>
                <c:formatCode>#,##0</c:formatCode>
                <c:ptCount val="14"/>
                <c:pt idx="0">
                  <c:v>6126.6009999999997</c:v>
                </c:pt>
                <c:pt idx="1">
                  <c:v>6429.5550000000003</c:v>
                </c:pt>
                <c:pt idx="2">
                  <c:v>4079.4380000000001</c:v>
                </c:pt>
                <c:pt idx="3">
                  <c:v>2411.3879999999999</c:v>
                </c:pt>
                <c:pt idx="4">
                  <c:v>600.87199999999996</c:v>
                </c:pt>
                <c:pt idx="5">
                  <c:v>924.99400000000003</c:v>
                </c:pt>
                <c:pt idx="6">
                  <c:v>2822.6860000000001</c:v>
                </c:pt>
                <c:pt idx="7">
                  <c:v>1162.385</c:v>
                </c:pt>
                <c:pt idx="8">
                  <c:v>8211.4609999999993</c:v>
                </c:pt>
                <c:pt idx="9">
                  <c:v>4713.0029999999997</c:v>
                </c:pt>
                <c:pt idx="10">
                  <c:v>5134.9880000000003</c:v>
                </c:pt>
                <c:pt idx="11">
                  <c:v>6317.1670000000004</c:v>
                </c:pt>
                <c:pt idx="12">
                  <c:v>8707.0329999999994</c:v>
                </c:pt>
                <c:pt idx="13">
                  <c:v>5977.9780000000001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055808"/>
        <c:axId val="30057600"/>
      </c:barChart>
      <c:catAx>
        <c:axId val="30055808"/>
        <c:scaling>
          <c:orientation val="maxMin"/>
        </c:scaling>
        <c:delete val="0"/>
        <c:axPos val="l"/>
        <c:majorTickMark val="out"/>
        <c:minorTickMark val="none"/>
        <c:tickLblPos val="nextTo"/>
        <c:crossAx val="30057600"/>
        <c:crosses val="autoZero"/>
        <c:auto val="1"/>
        <c:lblAlgn val="ctr"/>
        <c:lblOffset val="100"/>
        <c:tickLblSkip val="1"/>
        <c:noMultiLvlLbl val="0"/>
      </c:catAx>
      <c:valAx>
        <c:axId val="30057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</a:t>
                </a:r>
                <a:r>
                  <a:rPr lang="en-US" baseline="0"/>
                  <a:t> volume </a:t>
                </a:r>
                <a:r>
                  <a:rPr lang="en-US"/>
                  <a:t>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30055808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by ownership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'Eng Table 3'!$C$5:$D$5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3'!$C$8:$C$21</c:f>
              <c:numCache>
                <c:formatCode>#,##0</c:formatCode>
                <c:ptCount val="14"/>
                <c:pt idx="0">
                  <c:v>20804.708484442643</c:v>
                </c:pt>
                <c:pt idx="1">
                  <c:v>11420.094708878294</c:v>
                </c:pt>
                <c:pt idx="2">
                  <c:v>23938.951856823569</c:v>
                </c:pt>
                <c:pt idx="3">
                  <c:v>8258.640787653736</c:v>
                </c:pt>
                <c:pt idx="4">
                  <c:v>1369.2418280285342</c:v>
                </c:pt>
                <c:pt idx="5">
                  <c:v>826.20868947452357</c:v>
                </c:pt>
                <c:pt idx="6">
                  <c:v>6438.8950261565169</c:v>
                </c:pt>
                <c:pt idx="7">
                  <c:v>10811.035781528963</c:v>
                </c:pt>
                <c:pt idx="8">
                  <c:v>50310.54669426012</c:v>
                </c:pt>
                <c:pt idx="9">
                  <c:v>23907.63800077952</c:v>
                </c:pt>
                <c:pt idx="10">
                  <c:v>3085.8239381461217</c:v>
                </c:pt>
                <c:pt idx="11">
                  <c:v>12743.216682970593</c:v>
                </c:pt>
                <c:pt idx="12">
                  <c:v>22284.870660793447</c:v>
                </c:pt>
                <c:pt idx="13">
                  <c:v>19256.12847700169</c:v>
                </c:pt>
              </c:numCache>
            </c:numRef>
          </c:val>
        </c:ser>
        <c:ser>
          <c:idx val="1"/>
          <c:order val="1"/>
          <c:tx>
            <c:strRef>
              <c:f>'Eng Table 3'!$E$5:$F$5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3'!$E$8:$E$21</c:f>
              <c:numCache>
                <c:formatCode>#,##0</c:formatCode>
                <c:ptCount val="14"/>
                <c:pt idx="0">
                  <c:v>67415.054173327764</c:v>
                </c:pt>
                <c:pt idx="1">
                  <c:v>100357.04159450375</c:v>
                </c:pt>
                <c:pt idx="2">
                  <c:v>109000.88321787774</c:v>
                </c:pt>
                <c:pt idx="3">
                  <c:v>48224.516842254277</c:v>
                </c:pt>
                <c:pt idx="4">
                  <c:v>28080.450864476428</c:v>
                </c:pt>
                <c:pt idx="5">
                  <c:v>34345.318065874766</c:v>
                </c:pt>
                <c:pt idx="6">
                  <c:v>96826.381745583931</c:v>
                </c:pt>
                <c:pt idx="7">
                  <c:v>39302.955176832198</c:v>
                </c:pt>
                <c:pt idx="8">
                  <c:v>65819.304484896493</c:v>
                </c:pt>
                <c:pt idx="9">
                  <c:v>96977.99753970874</c:v>
                </c:pt>
                <c:pt idx="10">
                  <c:v>94158.151240498482</c:v>
                </c:pt>
                <c:pt idx="11">
                  <c:v>92265.729386850697</c:v>
                </c:pt>
                <c:pt idx="12">
                  <c:v>118379.28714251732</c:v>
                </c:pt>
                <c:pt idx="13">
                  <c:v>91056.514669832744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038400"/>
        <c:axId val="128039936"/>
      </c:barChart>
      <c:catAx>
        <c:axId val="128038400"/>
        <c:scaling>
          <c:orientation val="maxMin"/>
        </c:scaling>
        <c:delete val="0"/>
        <c:axPos val="l"/>
        <c:majorTickMark val="out"/>
        <c:minorTickMark val="none"/>
        <c:tickLblPos val="nextTo"/>
        <c:crossAx val="128039936"/>
        <c:crosses val="autoZero"/>
        <c:auto val="1"/>
        <c:lblAlgn val="ctr"/>
        <c:lblOffset val="100"/>
        <c:noMultiLvlLbl val="0"/>
      </c:catAx>
      <c:valAx>
        <c:axId val="128039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(ha)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80384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country'!$G$7:$G$20</c:f>
              <c:numCache>
                <c:formatCode>#,##0</c:formatCode>
                <c:ptCount val="14"/>
                <c:pt idx="0">
                  <c:v>2712.08</c:v>
                </c:pt>
                <c:pt idx="1">
                  <c:v>1821.8979999999999</c:v>
                </c:pt>
                <c:pt idx="2">
                  <c:v>3382.819</c:v>
                </c:pt>
                <c:pt idx="3">
                  <c:v>1088.232</c:v>
                </c:pt>
                <c:pt idx="4">
                  <c:v>128.36199999999999</c:v>
                </c:pt>
                <c:pt idx="5">
                  <c:v>50.957999999999998</c:v>
                </c:pt>
                <c:pt idx="6">
                  <c:v>536.35400000000004</c:v>
                </c:pt>
                <c:pt idx="7">
                  <c:v>701.005</c:v>
                </c:pt>
                <c:pt idx="8">
                  <c:v>6610.5060000000003</c:v>
                </c:pt>
                <c:pt idx="9">
                  <c:v>2183.2530000000002</c:v>
                </c:pt>
                <c:pt idx="10">
                  <c:v>273.46699999999998</c:v>
                </c:pt>
                <c:pt idx="11">
                  <c:v>1422.7909999999999</c:v>
                </c:pt>
                <c:pt idx="12">
                  <c:v>3057.8180000000002</c:v>
                </c:pt>
                <c:pt idx="13">
                  <c:v>2406.424</c:v>
                </c:pt>
              </c:numCache>
            </c:numRef>
          </c:val>
        </c:ser>
        <c:ser>
          <c:idx val="1"/>
          <c:order val="1"/>
          <c:tx>
            <c:strRef>
              <c:f>'Section 3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country'!$Q$7:$Q$20</c:f>
                <c:numCache>
                  <c:formatCode>General</c:formatCode>
                  <c:ptCount val="14"/>
                  <c:pt idx="0">
                    <c:v>441.11527199999995</c:v>
                  </c:pt>
                  <c:pt idx="1">
                    <c:v>459.07022699999999</c:v>
                  </c:pt>
                  <c:pt idx="2">
                    <c:v>321.0517706</c:v>
                  </c:pt>
                  <c:pt idx="3">
                    <c:v>305.76399839999999</c:v>
                  </c:pt>
                  <c:pt idx="4">
                    <c:v>113.56480799999997</c:v>
                  </c:pt>
                  <c:pt idx="5">
                    <c:v>165.573926</c:v>
                  </c:pt>
                  <c:pt idx="6">
                    <c:v>293.27707540000006</c:v>
                  </c:pt>
                  <c:pt idx="7">
                    <c:v>143.08959350000001</c:v>
                  </c:pt>
                  <c:pt idx="8">
                    <c:v>627.35562039999991</c:v>
                  </c:pt>
                  <c:pt idx="9">
                    <c:v>303.51739320000001</c:v>
                  </c:pt>
                  <c:pt idx="10">
                    <c:v>359.44916000000006</c:v>
                  </c:pt>
                  <c:pt idx="11">
                    <c:v>520.53456080000001</c:v>
                  </c:pt>
                  <c:pt idx="12">
                    <c:v>812.36617889999991</c:v>
                  </c:pt>
                  <c:pt idx="13">
                    <c:v>365.85225360000004</c:v>
                  </c:pt>
                </c:numCache>
              </c:numRef>
            </c:plus>
            <c:minus>
              <c:numRef>
                <c:f>'Section 3 data country'!$Q$7:$Q$20</c:f>
                <c:numCache>
                  <c:formatCode>General</c:formatCode>
                  <c:ptCount val="14"/>
                  <c:pt idx="0">
                    <c:v>441.11527199999995</c:v>
                  </c:pt>
                  <c:pt idx="1">
                    <c:v>459.07022699999999</c:v>
                  </c:pt>
                  <c:pt idx="2">
                    <c:v>321.0517706</c:v>
                  </c:pt>
                  <c:pt idx="3">
                    <c:v>305.76399839999999</c:v>
                  </c:pt>
                  <c:pt idx="4">
                    <c:v>113.56480799999997</c:v>
                  </c:pt>
                  <c:pt idx="5">
                    <c:v>165.573926</c:v>
                  </c:pt>
                  <c:pt idx="6">
                    <c:v>293.27707540000006</c:v>
                  </c:pt>
                  <c:pt idx="7">
                    <c:v>143.08959350000001</c:v>
                  </c:pt>
                  <c:pt idx="8">
                    <c:v>627.35562039999991</c:v>
                  </c:pt>
                  <c:pt idx="9">
                    <c:v>303.51739320000001</c:v>
                  </c:pt>
                  <c:pt idx="10">
                    <c:v>359.44916000000006</c:v>
                  </c:pt>
                  <c:pt idx="11">
                    <c:v>520.53456080000001</c:v>
                  </c:pt>
                  <c:pt idx="12">
                    <c:v>812.36617889999991</c:v>
                  </c:pt>
                  <c:pt idx="13">
                    <c:v>365.85225360000004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country'!$H$7:$H$20</c:f>
              <c:numCache>
                <c:formatCode>#,##0</c:formatCode>
                <c:ptCount val="14"/>
                <c:pt idx="0">
                  <c:v>6126.6009999999997</c:v>
                </c:pt>
                <c:pt idx="1">
                  <c:v>6429.5550000000003</c:v>
                </c:pt>
                <c:pt idx="2">
                  <c:v>4079.4380000000001</c:v>
                </c:pt>
                <c:pt idx="3">
                  <c:v>2411.3879999999999</c:v>
                </c:pt>
                <c:pt idx="4">
                  <c:v>600.87199999999996</c:v>
                </c:pt>
                <c:pt idx="5">
                  <c:v>924.99400000000003</c:v>
                </c:pt>
                <c:pt idx="6">
                  <c:v>2822.6860000000001</c:v>
                </c:pt>
                <c:pt idx="7">
                  <c:v>1162.385</c:v>
                </c:pt>
                <c:pt idx="8">
                  <c:v>8211.4609999999993</c:v>
                </c:pt>
                <c:pt idx="9">
                  <c:v>4713.0029999999997</c:v>
                </c:pt>
                <c:pt idx="10">
                  <c:v>5134.9880000000003</c:v>
                </c:pt>
                <c:pt idx="11">
                  <c:v>6317.1670000000004</c:v>
                </c:pt>
                <c:pt idx="12">
                  <c:v>8707.0329999999994</c:v>
                </c:pt>
                <c:pt idx="13">
                  <c:v>5977.9780000000001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61216"/>
        <c:axId val="29971200"/>
      </c:barChart>
      <c:catAx>
        <c:axId val="29961216"/>
        <c:scaling>
          <c:orientation val="maxMin"/>
        </c:scaling>
        <c:delete val="0"/>
        <c:axPos val="l"/>
        <c:majorTickMark val="out"/>
        <c:minorTickMark val="none"/>
        <c:tickLblPos val="nextTo"/>
        <c:crossAx val="29971200"/>
        <c:crosses val="autoZero"/>
        <c:auto val="1"/>
        <c:lblAlgn val="ctr"/>
        <c:lblOffset val="100"/>
        <c:tickLblSkip val="1"/>
        <c:noMultiLvlLbl val="0"/>
      </c:catAx>
      <c:valAx>
        <c:axId val="29971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99612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Standing</a:t>
            </a:r>
            <a:r>
              <a:rPr lang="en-GB" baseline="0"/>
              <a:t> volume</a:t>
            </a:r>
            <a:r>
              <a:rPr lang="en-GB"/>
              <a:t> of</a:t>
            </a:r>
            <a:r>
              <a:rPr lang="en-GB" baseline="0"/>
              <a:t> all broadleaves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country'!$K$7:$K$20</c:f>
              <c:numCache>
                <c:formatCode>#,##0</c:formatCode>
                <c:ptCount val="14"/>
                <c:pt idx="0">
                  <c:v>347.90800000000002</c:v>
                </c:pt>
                <c:pt idx="1">
                  <c:v>293.49099999999999</c:v>
                </c:pt>
                <c:pt idx="2">
                  <c:v>538.20299999999997</c:v>
                </c:pt>
                <c:pt idx="3">
                  <c:v>220.55799999999999</c:v>
                </c:pt>
                <c:pt idx="4">
                  <c:v>51.53</c:v>
                </c:pt>
                <c:pt idx="5">
                  <c:v>56.539000000000001</c:v>
                </c:pt>
                <c:pt idx="6">
                  <c:v>358.00900000000001</c:v>
                </c:pt>
                <c:pt idx="7">
                  <c:v>784.07899999999995</c:v>
                </c:pt>
                <c:pt idx="8">
                  <c:v>120.61</c:v>
                </c:pt>
                <c:pt idx="9">
                  <c:v>3557.924</c:v>
                </c:pt>
                <c:pt idx="10">
                  <c:v>219.81800000000001</c:v>
                </c:pt>
                <c:pt idx="11">
                  <c:v>776.69600000000003</c:v>
                </c:pt>
                <c:pt idx="12">
                  <c:v>1104.704</c:v>
                </c:pt>
                <c:pt idx="13">
                  <c:v>330.89800000000002</c:v>
                </c:pt>
              </c:numCache>
            </c:numRef>
          </c:val>
        </c:ser>
        <c:ser>
          <c:idx val="1"/>
          <c:order val="1"/>
          <c:tx>
            <c:strRef>
              <c:f>'Section 3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country'!$R$7:$R$20</c:f>
                <c:numCache>
                  <c:formatCode>General</c:formatCode>
                  <c:ptCount val="14"/>
                  <c:pt idx="0">
                    <c:v>469.96668810000006</c:v>
                  </c:pt>
                  <c:pt idx="1">
                    <c:v>976.2690901000002</c:v>
                  </c:pt>
                  <c:pt idx="2">
                    <c:v>830.64367170000003</c:v>
                  </c:pt>
                  <c:pt idx="3">
                    <c:v>561.98122560000002</c:v>
                  </c:pt>
                  <c:pt idx="4">
                    <c:v>563.25664800000004</c:v>
                  </c:pt>
                  <c:pt idx="5">
                    <c:v>780.13629439999988</c:v>
                  </c:pt>
                  <c:pt idx="6">
                    <c:v>829.69728720000001</c:v>
                  </c:pt>
                  <c:pt idx="7">
                    <c:v>494.56726109999994</c:v>
                  </c:pt>
                  <c:pt idx="8">
                    <c:v>403.9026758</c:v>
                  </c:pt>
                  <c:pt idx="9">
                    <c:v>684.30039480000005</c:v>
                  </c:pt>
                  <c:pt idx="10">
                    <c:v>650.62559299999998</c:v>
                  </c:pt>
                  <c:pt idx="11">
                    <c:v>886.84135380000009</c:v>
                  </c:pt>
                  <c:pt idx="12">
                    <c:v>1165.0027928</c:v>
                  </c:pt>
                  <c:pt idx="13">
                    <c:v>513.30105119999996</c:v>
                  </c:pt>
                </c:numCache>
              </c:numRef>
            </c:plus>
            <c:minus>
              <c:numRef>
                <c:f>'Section 3 data country'!$R$7:$R$20</c:f>
                <c:numCache>
                  <c:formatCode>General</c:formatCode>
                  <c:ptCount val="14"/>
                  <c:pt idx="0">
                    <c:v>469.96668810000006</c:v>
                  </c:pt>
                  <c:pt idx="1">
                    <c:v>976.2690901000002</c:v>
                  </c:pt>
                  <c:pt idx="2">
                    <c:v>830.64367170000003</c:v>
                  </c:pt>
                  <c:pt idx="3">
                    <c:v>561.98122560000002</c:v>
                  </c:pt>
                  <c:pt idx="4">
                    <c:v>563.25664800000004</c:v>
                  </c:pt>
                  <c:pt idx="5">
                    <c:v>780.13629439999988</c:v>
                  </c:pt>
                  <c:pt idx="6">
                    <c:v>829.69728720000001</c:v>
                  </c:pt>
                  <c:pt idx="7">
                    <c:v>494.56726109999994</c:v>
                  </c:pt>
                  <c:pt idx="8">
                    <c:v>403.9026758</c:v>
                  </c:pt>
                  <c:pt idx="9">
                    <c:v>684.30039480000005</c:v>
                  </c:pt>
                  <c:pt idx="10">
                    <c:v>650.62559299999998</c:v>
                  </c:pt>
                  <c:pt idx="11">
                    <c:v>886.84135380000009</c:v>
                  </c:pt>
                  <c:pt idx="12">
                    <c:v>1165.0027928</c:v>
                  </c:pt>
                  <c:pt idx="13">
                    <c:v>513.30105119999996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country'!$L$7:$L$20</c:f>
              <c:numCache>
                <c:formatCode>#,##0</c:formatCode>
                <c:ptCount val="14"/>
                <c:pt idx="0">
                  <c:v>7377.8130000000001</c:v>
                </c:pt>
                <c:pt idx="1">
                  <c:v>17157.629000000001</c:v>
                </c:pt>
                <c:pt idx="2">
                  <c:v>15643.007</c:v>
                </c:pt>
                <c:pt idx="3">
                  <c:v>5928.0720000000001</c:v>
                </c:pt>
                <c:pt idx="4">
                  <c:v>3994.7280000000001</c:v>
                </c:pt>
                <c:pt idx="5">
                  <c:v>5432.7039999999997</c:v>
                </c:pt>
                <c:pt idx="6">
                  <c:v>16863.766</c:v>
                </c:pt>
                <c:pt idx="7">
                  <c:v>6620.7129999999997</c:v>
                </c:pt>
                <c:pt idx="8">
                  <c:v>5436.1059999999998</c:v>
                </c:pt>
                <c:pt idx="9">
                  <c:v>18296.802</c:v>
                </c:pt>
                <c:pt idx="10">
                  <c:v>16471.534</c:v>
                </c:pt>
                <c:pt idx="11">
                  <c:v>17087.502</c:v>
                </c:pt>
                <c:pt idx="12">
                  <c:v>21614.151999999998</c:v>
                </c:pt>
                <c:pt idx="13">
                  <c:v>11256.602000000001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82496"/>
        <c:axId val="28688384"/>
      </c:barChart>
      <c:catAx>
        <c:axId val="28682496"/>
        <c:scaling>
          <c:orientation val="maxMin"/>
        </c:scaling>
        <c:delete val="0"/>
        <c:axPos val="l"/>
        <c:majorTickMark val="out"/>
        <c:minorTickMark val="none"/>
        <c:tickLblPos val="nextTo"/>
        <c:crossAx val="28688384"/>
        <c:crosses val="autoZero"/>
        <c:auto val="1"/>
        <c:lblAlgn val="ctr"/>
        <c:lblOffset val="100"/>
        <c:tickLblSkip val="1"/>
        <c:noMultiLvlLbl val="0"/>
      </c:catAx>
      <c:valAx>
        <c:axId val="28688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</a:t>
                </a:r>
                <a:r>
                  <a:rPr lang="en-US" baseline="0"/>
                  <a:t> volume</a:t>
                </a:r>
                <a:r>
                  <a:rPr lang="en-US"/>
                  <a:t>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68249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country'!$K$7:$K$20</c:f>
              <c:numCache>
                <c:formatCode>#,##0</c:formatCode>
                <c:ptCount val="14"/>
                <c:pt idx="0">
                  <c:v>347.90800000000002</c:v>
                </c:pt>
                <c:pt idx="1">
                  <c:v>293.49099999999999</c:v>
                </c:pt>
                <c:pt idx="2">
                  <c:v>538.20299999999997</c:v>
                </c:pt>
                <c:pt idx="3">
                  <c:v>220.55799999999999</c:v>
                </c:pt>
                <c:pt idx="4">
                  <c:v>51.53</c:v>
                </c:pt>
                <c:pt idx="5">
                  <c:v>56.539000000000001</c:v>
                </c:pt>
                <c:pt idx="6">
                  <c:v>358.00900000000001</c:v>
                </c:pt>
                <c:pt idx="7">
                  <c:v>784.07899999999995</c:v>
                </c:pt>
                <c:pt idx="8">
                  <c:v>120.61</c:v>
                </c:pt>
                <c:pt idx="9">
                  <c:v>3557.924</c:v>
                </c:pt>
                <c:pt idx="10">
                  <c:v>219.81800000000001</c:v>
                </c:pt>
                <c:pt idx="11">
                  <c:v>776.69600000000003</c:v>
                </c:pt>
                <c:pt idx="12">
                  <c:v>1104.704</c:v>
                </c:pt>
                <c:pt idx="13">
                  <c:v>330.89800000000002</c:v>
                </c:pt>
              </c:numCache>
            </c:numRef>
          </c:val>
        </c:ser>
        <c:ser>
          <c:idx val="1"/>
          <c:order val="1"/>
          <c:tx>
            <c:strRef>
              <c:f>'Section 3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country'!$R$7:$R$20</c:f>
                <c:numCache>
                  <c:formatCode>General</c:formatCode>
                  <c:ptCount val="14"/>
                  <c:pt idx="0">
                    <c:v>469.96668810000006</c:v>
                  </c:pt>
                  <c:pt idx="1">
                    <c:v>976.2690901000002</c:v>
                  </c:pt>
                  <c:pt idx="2">
                    <c:v>830.64367170000003</c:v>
                  </c:pt>
                  <c:pt idx="3">
                    <c:v>561.98122560000002</c:v>
                  </c:pt>
                  <c:pt idx="4">
                    <c:v>563.25664800000004</c:v>
                  </c:pt>
                  <c:pt idx="5">
                    <c:v>780.13629439999988</c:v>
                  </c:pt>
                  <c:pt idx="6">
                    <c:v>829.69728720000001</c:v>
                  </c:pt>
                  <c:pt idx="7">
                    <c:v>494.56726109999994</c:v>
                  </c:pt>
                  <c:pt idx="8">
                    <c:v>403.9026758</c:v>
                  </c:pt>
                  <c:pt idx="9">
                    <c:v>684.30039480000005</c:v>
                  </c:pt>
                  <c:pt idx="10">
                    <c:v>650.62559299999998</c:v>
                  </c:pt>
                  <c:pt idx="11">
                    <c:v>886.84135380000009</c:v>
                  </c:pt>
                  <c:pt idx="12">
                    <c:v>1165.0027928</c:v>
                  </c:pt>
                  <c:pt idx="13">
                    <c:v>513.30105119999996</c:v>
                  </c:pt>
                </c:numCache>
              </c:numRef>
            </c:plus>
            <c:minus>
              <c:numRef>
                <c:f>'Section 3 data country'!$R$7:$R$20</c:f>
                <c:numCache>
                  <c:formatCode>General</c:formatCode>
                  <c:ptCount val="14"/>
                  <c:pt idx="0">
                    <c:v>469.96668810000006</c:v>
                  </c:pt>
                  <c:pt idx="1">
                    <c:v>976.2690901000002</c:v>
                  </c:pt>
                  <c:pt idx="2">
                    <c:v>830.64367170000003</c:v>
                  </c:pt>
                  <c:pt idx="3">
                    <c:v>561.98122560000002</c:v>
                  </c:pt>
                  <c:pt idx="4">
                    <c:v>563.25664800000004</c:v>
                  </c:pt>
                  <c:pt idx="5">
                    <c:v>780.13629439999988</c:v>
                  </c:pt>
                  <c:pt idx="6">
                    <c:v>829.69728720000001</c:v>
                  </c:pt>
                  <c:pt idx="7">
                    <c:v>494.56726109999994</c:v>
                  </c:pt>
                  <c:pt idx="8">
                    <c:v>403.9026758</c:v>
                  </c:pt>
                  <c:pt idx="9">
                    <c:v>684.30039480000005</c:v>
                  </c:pt>
                  <c:pt idx="10">
                    <c:v>650.62559299999998</c:v>
                  </c:pt>
                  <c:pt idx="11">
                    <c:v>886.84135380000009</c:v>
                  </c:pt>
                  <c:pt idx="12">
                    <c:v>1165.0027928</c:v>
                  </c:pt>
                  <c:pt idx="13">
                    <c:v>513.30105119999996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country'!$L$7:$L$20</c:f>
              <c:numCache>
                <c:formatCode>#,##0</c:formatCode>
                <c:ptCount val="14"/>
                <c:pt idx="0">
                  <c:v>7377.8130000000001</c:v>
                </c:pt>
                <c:pt idx="1">
                  <c:v>17157.629000000001</c:v>
                </c:pt>
                <c:pt idx="2">
                  <c:v>15643.007</c:v>
                </c:pt>
                <c:pt idx="3">
                  <c:v>5928.0720000000001</c:v>
                </c:pt>
                <c:pt idx="4">
                  <c:v>3994.7280000000001</c:v>
                </c:pt>
                <c:pt idx="5">
                  <c:v>5432.7039999999997</c:v>
                </c:pt>
                <c:pt idx="6">
                  <c:v>16863.766</c:v>
                </c:pt>
                <c:pt idx="7">
                  <c:v>6620.7129999999997</c:v>
                </c:pt>
                <c:pt idx="8">
                  <c:v>5436.1059999999998</c:v>
                </c:pt>
                <c:pt idx="9">
                  <c:v>18296.802</c:v>
                </c:pt>
                <c:pt idx="10">
                  <c:v>16471.534</c:v>
                </c:pt>
                <c:pt idx="11">
                  <c:v>17087.502</c:v>
                </c:pt>
                <c:pt idx="12">
                  <c:v>21614.151999999998</c:v>
                </c:pt>
                <c:pt idx="13">
                  <c:v>11256.602000000001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759936"/>
        <c:axId val="28761472"/>
      </c:barChart>
      <c:catAx>
        <c:axId val="28759936"/>
        <c:scaling>
          <c:orientation val="maxMin"/>
        </c:scaling>
        <c:delete val="0"/>
        <c:axPos val="l"/>
        <c:majorTickMark val="out"/>
        <c:minorTickMark val="none"/>
        <c:tickLblPos val="nextTo"/>
        <c:crossAx val="28761472"/>
        <c:crosses val="autoZero"/>
        <c:auto val="1"/>
        <c:lblAlgn val="ctr"/>
        <c:lblOffset val="100"/>
        <c:tickLblSkip val="1"/>
        <c:noMultiLvlLbl val="0"/>
      </c:catAx>
      <c:valAx>
        <c:axId val="28761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87599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Standing</a:t>
            </a:r>
            <a:r>
              <a:rPr lang="en-GB" baseline="0"/>
              <a:t> volume</a:t>
            </a:r>
            <a:r>
              <a:rPr lang="en-GB"/>
              <a:t> of</a:t>
            </a:r>
            <a:r>
              <a:rPr lang="en-GB" baseline="0"/>
              <a:t> all species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country'!$C$7:$C$20</c:f>
              <c:numCache>
                <c:formatCode>#,##0</c:formatCode>
                <c:ptCount val="14"/>
                <c:pt idx="0">
                  <c:v>3059.9879999999998</c:v>
                </c:pt>
                <c:pt idx="1">
                  <c:v>2115.39</c:v>
                </c:pt>
                <c:pt idx="2">
                  <c:v>3921.0219999999999</c:v>
                </c:pt>
                <c:pt idx="3">
                  <c:v>1308.79</c:v>
                </c:pt>
                <c:pt idx="4">
                  <c:v>179.892</c:v>
                </c:pt>
                <c:pt idx="5">
                  <c:v>107.497</c:v>
                </c:pt>
                <c:pt idx="6">
                  <c:v>894.36300000000006</c:v>
                </c:pt>
                <c:pt idx="7">
                  <c:v>1485.0840000000001</c:v>
                </c:pt>
                <c:pt idx="8">
                  <c:v>6731.116</c:v>
                </c:pt>
                <c:pt idx="9">
                  <c:v>5741.1769999999997</c:v>
                </c:pt>
                <c:pt idx="10">
                  <c:v>493.28500000000003</c:v>
                </c:pt>
                <c:pt idx="11">
                  <c:v>4162.5219999999999</c:v>
                </c:pt>
                <c:pt idx="12">
                  <c:v>2199.4859999999999</c:v>
                </c:pt>
                <c:pt idx="13">
                  <c:v>2737.3220000000001</c:v>
                </c:pt>
              </c:numCache>
            </c:numRef>
          </c:val>
        </c:ser>
        <c:ser>
          <c:idx val="1"/>
          <c:order val="1"/>
          <c:tx>
            <c:strRef>
              <c:f>'Section 3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country'!$P$7:$P$20</c:f>
                <c:numCache>
                  <c:formatCode>General</c:formatCode>
                  <c:ptCount val="14"/>
                  <c:pt idx="0">
                    <c:v>616.15992240000003</c:v>
                  </c:pt>
                  <c:pt idx="1">
                    <c:v>1077.0007727999998</c:v>
                  </c:pt>
                  <c:pt idx="2">
                    <c:v>854.29038100000002</c:v>
                  </c:pt>
                  <c:pt idx="3">
                    <c:v>594.60349799999995</c:v>
                  </c:pt>
                  <c:pt idx="4">
                    <c:v>567.55647650000003</c:v>
                  </c:pt>
                  <c:pt idx="5">
                    <c:v>795.98378960000002</c:v>
                  </c:pt>
                  <c:pt idx="6">
                    <c:v>852.72040960000015</c:v>
                  </c:pt>
                  <c:pt idx="7">
                    <c:v>496.66807189999997</c:v>
                  </c:pt>
                  <c:pt idx="8">
                    <c:v>722.7989912999999</c:v>
                  </c:pt>
                  <c:pt idx="9">
                    <c:v>732.06512880000014</c:v>
                  </c:pt>
                  <c:pt idx="10">
                    <c:v>718.01426700000013</c:v>
                  </c:pt>
                  <c:pt idx="11">
                    <c:v>999.04038199999991</c:v>
                  </c:pt>
                  <c:pt idx="12">
                    <c:v>1422.5032220000003</c:v>
                  </c:pt>
                  <c:pt idx="13">
                    <c:v>599.40856319999989</c:v>
                  </c:pt>
                </c:numCache>
              </c:numRef>
            </c:plus>
            <c:minus>
              <c:numRef>
                <c:f>'Section 3 data country'!$P$7:$P$20</c:f>
                <c:numCache>
                  <c:formatCode>General</c:formatCode>
                  <c:ptCount val="14"/>
                  <c:pt idx="0">
                    <c:v>616.15992240000003</c:v>
                  </c:pt>
                  <c:pt idx="1">
                    <c:v>1077.0007727999998</c:v>
                  </c:pt>
                  <c:pt idx="2">
                    <c:v>854.29038100000002</c:v>
                  </c:pt>
                  <c:pt idx="3">
                    <c:v>594.60349799999995</c:v>
                  </c:pt>
                  <c:pt idx="4">
                    <c:v>567.55647650000003</c:v>
                  </c:pt>
                  <c:pt idx="5">
                    <c:v>795.98378960000002</c:v>
                  </c:pt>
                  <c:pt idx="6">
                    <c:v>852.72040960000015</c:v>
                  </c:pt>
                  <c:pt idx="7">
                    <c:v>496.66807189999997</c:v>
                  </c:pt>
                  <c:pt idx="8">
                    <c:v>722.7989912999999</c:v>
                  </c:pt>
                  <c:pt idx="9">
                    <c:v>732.06512880000014</c:v>
                  </c:pt>
                  <c:pt idx="10">
                    <c:v>718.01426700000013</c:v>
                  </c:pt>
                  <c:pt idx="11">
                    <c:v>999.04038199999991</c:v>
                  </c:pt>
                  <c:pt idx="12">
                    <c:v>1422.5032220000003</c:v>
                  </c:pt>
                  <c:pt idx="13">
                    <c:v>599.40856319999989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country'!$D$7:$D$20</c:f>
              <c:numCache>
                <c:formatCode>#,##0</c:formatCode>
                <c:ptCount val="14"/>
                <c:pt idx="0">
                  <c:v>13512.279</c:v>
                </c:pt>
                <c:pt idx="1">
                  <c:v>23618.437999999998</c:v>
                </c:pt>
                <c:pt idx="2">
                  <c:v>19729.57</c:v>
                </c:pt>
                <c:pt idx="3">
                  <c:v>8339.4599999999991</c:v>
                </c:pt>
                <c:pt idx="4">
                  <c:v>4595.5990000000002</c:v>
                </c:pt>
                <c:pt idx="5">
                  <c:v>6357.6980000000003</c:v>
                </c:pt>
                <c:pt idx="6">
                  <c:v>19693.312000000002</c:v>
                </c:pt>
                <c:pt idx="7">
                  <c:v>7796.9870000000001</c:v>
                </c:pt>
                <c:pt idx="8">
                  <c:v>13663.496999999999</c:v>
                </c:pt>
                <c:pt idx="9">
                  <c:v>23020.916000000001</c:v>
                </c:pt>
                <c:pt idx="10">
                  <c:v>21561.99</c:v>
                </c:pt>
                <c:pt idx="11">
                  <c:v>23342.064999999999</c:v>
                </c:pt>
                <c:pt idx="12">
                  <c:v>30266.026000000002</c:v>
                </c:pt>
                <c:pt idx="13">
                  <c:v>17224.383999999998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38528"/>
        <c:axId val="30440064"/>
      </c:barChart>
      <c:catAx>
        <c:axId val="30438528"/>
        <c:scaling>
          <c:orientation val="maxMin"/>
        </c:scaling>
        <c:delete val="0"/>
        <c:axPos val="l"/>
        <c:majorTickMark val="out"/>
        <c:minorTickMark val="none"/>
        <c:tickLblPos val="nextTo"/>
        <c:crossAx val="30440064"/>
        <c:crosses val="autoZero"/>
        <c:auto val="1"/>
        <c:lblAlgn val="ctr"/>
        <c:lblOffset val="100"/>
        <c:tickLblSkip val="1"/>
        <c:noMultiLvlLbl val="0"/>
      </c:catAx>
      <c:valAx>
        <c:axId val="30440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Standing volume (000 m</a:t>
                </a:r>
                <a:r>
                  <a:rPr lang="en-US" sz="1000" b="1" i="0" baseline="30000">
                    <a:effectLst/>
                    <a:latin typeface="+mn-lt"/>
                  </a:rPr>
                  <a:t>3</a:t>
                </a:r>
                <a:r>
                  <a:rPr lang="en-US" sz="1000" b="1" i="0" baseline="0">
                    <a:effectLst/>
                    <a:latin typeface="+mn-lt"/>
                  </a:rPr>
                  <a:t> obs)</a:t>
                </a:r>
                <a:endParaRPr lang="en-GB">
                  <a:effectLst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04385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3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country'!$C$7:$C$20</c:f>
              <c:numCache>
                <c:formatCode>#,##0</c:formatCode>
                <c:ptCount val="14"/>
                <c:pt idx="0">
                  <c:v>3059.9879999999998</c:v>
                </c:pt>
                <c:pt idx="1">
                  <c:v>2115.39</c:v>
                </c:pt>
                <c:pt idx="2">
                  <c:v>3921.0219999999999</c:v>
                </c:pt>
                <c:pt idx="3">
                  <c:v>1308.79</c:v>
                </c:pt>
                <c:pt idx="4">
                  <c:v>179.892</c:v>
                </c:pt>
                <c:pt idx="5">
                  <c:v>107.497</c:v>
                </c:pt>
                <c:pt idx="6">
                  <c:v>894.36300000000006</c:v>
                </c:pt>
                <c:pt idx="7">
                  <c:v>1485.0840000000001</c:v>
                </c:pt>
                <c:pt idx="8">
                  <c:v>6731.116</c:v>
                </c:pt>
                <c:pt idx="9">
                  <c:v>5741.1769999999997</c:v>
                </c:pt>
                <c:pt idx="10">
                  <c:v>493.28500000000003</c:v>
                </c:pt>
                <c:pt idx="11">
                  <c:v>4162.5219999999999</c:v>
                </c:pt>
                <c:pt idx="12">
                  <c:v>2199.4859999999999</c:v>
                </c:pt>
                <c:pt idx="13">
                  <c:v>2737.3220000000001</c:v>
                </c:pt>
              </c:numCache>
            </c:numRef>
          </c:val>
        </c:ser>
        <c:ser>
          <c:idx val="1"/>
          <c:order val="1"/>
          <c:tx>
            <c:strRef>
              <c:f>'Section 3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 country'!$P$7:$P$20</c:f>
                <c:numCache>
                  <c:formatCode>General</c:formatCode>
                  <c:ptCount val="14"/>
                  <c:pt idx="0">
                    <c:v>616.15992240000003</c:v>
                  </c:pt>
                  <c:pt idx="1">
                    <c:v>1077.0007727999998</c:v>
                  </c:pt>
                  <c:pt idx="2">
                    <c:v>854.29038100000002</c:v>
                  </c:pt>
                  <c:pt idx="3">
                    <c:v>594.60349799999995</c:v>
                  </c:pt>
                  <c:pt idx="4">
                    <c:v>567.55647650000003</c:v>
                  </c:pt>
                  <c:pt idx="5">
                    <c:v>795.98378960000002</c:v>
                  </c:pt>
                  <c:pt idx="6">
                    <c:v>852.72040960000015</c:v>
                  </c:pt>
                  <c:pt idx="7">
                    <c:v>496.66807189999997</c:v>
                  </c:pt>
                  <c:pt idx="8">
                    <c:v>722.7989912999999</c:v>
                  </c:pt>
                  <c:pt idx="9">
                    <c:v>732.06512880000014</c:v>
                  </c:pt>
                  <c:pt idx="10">
                    <c:v>718.01426700000013</c:v>
                  </c:pt>
                  <c:pt idx="11">
                    <c:v>999.04038199999991</c:v>
                  </c:pt>
                  <c:pt idx="12">
                    <c:v>1422.5032220000003</c:v>
                  </c:pt>
                  <c:pt idx="13">
                    <c:v>599.40856319999989</c:v>
                  </c:pt>
                </c:numCache>
              </c:numRef>
            </c:plus>
            <c:minus>
              <c:numRef>
                <c:f>'Section 3 data country'!$P$7:$P$20</c:f>
                <c:numCache>
                  <c:formatCode>General</c:formatCode>
                  <c:ptCount val="14"/>
                  <c:pt idx="0">
                    <c:v>616.15992240000003</c:v>
                  </c:pt>
                  <c:pt idx="1">
                    <c:v>1077.0007727999998</c:v>
                  </c:pt>
                  <c:pt idx="2">
                    <c:v>854.29038100000002</c:v>
                  </c:pt>
                  <c:pt idx="3">
                    <c:v>594.60349799999995</c:v>
                  </c:pt>
                  <c:pt idx="4">
                    <c:v>567.55647650000003</c:v>
                  </c:pt>
                  <c:pt idx="5">
                    <c:v>795.98378960000002</c:v>
                  </c:pt>
                  <c:pt idx="6">
                    <c:v>852.72040960000015</c:v>
                  </c:pt>
                  <c:pt idx="7">
                    <c:v>496.66807189999997</c:v>
                  </c:pt>
                  <c:pt idx="8">
                    <c:v>722.7989912999999</c:v>
                  </c:pt>
                  <c:pt idx="9">
                    <c:v>732.06512880000014</c:v>
                  </c:pt>
                  <c:pt idx="10">
                    <c:v>718.01426700000013</c:v>
                  </c:pt>
                  <c:pt idx="11">
                    <c:v>999.04038199999991</c:v>
                  </c:pt>
                  <c:pt idx="12">
                    <c:v>1422.5032220000003</c:v>
                  </c:pt>
                  <c:pt idx="13">
                    <c:v>599.40856319999989</c:v>
                  </c:pt>
                </c:numCache>
              </c:numRef>
            </c:minus>
          </c:errBars>
          <c:cat>
            <c:strRef>
              <c:f>'Section 3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3 data country'!$D$7:$D$20</c:f>
              <c:numCache>
                <c:formatCode>#,##0</c:formatCode>
                <c:ptCount val="14"/>
                <c:pt idx="0">
                  <c:v>13512.279</c:v>
                </c:pt>
                <c:pt idx="1">
                  <c:v>23618.437999999998</c:v>
                </c:pt>
                <c:pt idx="2">
                  <c:v>19729.57</c:v>
                </c:pt>
                <c:pt idx="3">
                  <c:v>8339.4599999999991</c:v>
                </c:pt>
                <c:pt idx="4">
                  <c:v>4595.5990000000002</c:v>
                </c:pt>
                <c:pt idx="5">
                  <c:v>6357.6980000000003</c:v>
                </c:pt>
                <c:pt idx="6">
                  <c:v>19693.312000000002</c:v>
                </c:pt>
                <c:pt idx="7">
                  <c:v>7796.9870000000001</c:v>
                </c:pt>
                <c:pt idx="8">
                  <c:v>13663.496999999999</c:v>
                </c:pt>
                <c:pt idx="9">
                  <c:v>23020.916000000001</c:v>
                </c:pt>
                <c:pt idx="10">
                  <c:v>21561.99</c:v>
                </c:pt>
                <c:pt idx="11">
                  <c:v>23342.064999999999</c:v>
                </c:pt>
                <c:pt idx="12">
                  <c:v>30266.026000000002</c:v>
                </c:pt>
                <c:pt idx="13">
                  <c:v>17224.383999999998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56224"/>
        <c:axId val="30357760"/>
      </c:barChart>
      <c:catAx>
        <c:axId val="303562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30357760"/>
        <c:crosses val="autoZero"/>
        <c:auto val="1"/>
        <c:lblAlgn val="ctr"/>
        <c:lblOffset val="100"/>
        <c:tickLblSkip val="1"/>
        <c:noMultiLvlLbl val="0"/>
      </c:catAx>
      <c:valAx>
        <c:axId val="30357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b="1" i="0" baseline="0">
                    <a:effectLst/>
                    <a:latin typeface="+mn-lt"/>
                  </a:rPr>
                  <a:t>Standing volume (000 m</a:t>
                </a:r>
                <a:r>
                  <a:rPr lang="en-US" sz="1400" b="1" i="0" baseline="30000">
                    <a:effectLst/>
                    <a:latin typeface="+mn-lt"/>
                  </a:rPr>
                  <a:t>3</a:t>
                </a:r>
                <a:r>
                  <a:rPr lang="en-US" sz="1400" b="1" i="0" baseline="0">
                    <a:effectLst/>
                    <a:latin typeface="+mn-lt"/>
                  </a:rPr>
                  <a:t> obs)</a:t>
                </a:r>
                <a:endParaRPr lang="en-GB" sz="1400">
                  <a:effectLst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0356224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'Section 3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data'!$D$31:$D$53</c:f>
              <c:numCache>
                <c:formatCode>#,##0</c:formatCode>
                <c:ptCount val="23"/>
                <c:pt idx="0">
                  <c:v>5.1269999999999998</c:v>
                </c:pt>
                <c:pt idx="1">
                  <c:v>693.78899999999999</c:v>
                </c:pt>
                <c:pt idx="2">
                  <c:v>7316.4279999999999</c:v>
                </c:pt>
                <c:pt idx="3">
                  <c:v>12454.168</c:v>
                </c:pt>
                <c:pt idx="4">
                  <c:v>4159.808</c:v>
                </c:pt>
                <c:pt idx="5">
                  <c:v>1446.6690000000001</c:v>
                </c:pt>
                <c:pt idx="6">
                  <c:v>299.97900000000004</c:v>
                </c:pt>
                <c:pt idx="8">
                  <c:v>0.187</c:v>
                </c:pt>
                <c:pt idx="9">
                  <c:v>48.951000000000001</c:v>
                </c:pt>
                <c:pt idx="10">
                  <c:v>347.76900000000001</c:v>
                </c:pt>
                <c:pt idx="11">
                  <c:v>1874.788</c:v>
                </c:pt>
                <c:pt idx="12">
                  <c:v>2368.13</c:v>
                </c:pt>
                <c:pt idx="13">
                  <c:v>845.56700000000001</c:v>
                </c:pt>
                <c:pt idx="14">
                  <c:v>3275.5749999999998</c:v>
                </c:pt>
                <c:pt idx="16">
                  <c:v>5.3120000000000003</c:v>
                </c:pt>
                <c:pt idx="17">
                  <c:v>742.74199999999996</c:v>
                </c:pt>
                <c:pt idx="18">
                  <c:v>7664.1930000000002</c:v>
                </c:pt>
                <c:pt idx="19">
                  <c:v>14328.955</c:v>
                </c:pt>
                <c:pt idx="20">
                  <c:v>6527.9380000000001</c:v>
                </c:pt>
                <c:pt idx="21">
                  <c:v>2292.2339999999999</c:v>
                </c:pt>
                <c:pt idx="22">
                  <c:v>3575.5569999999998</c:v>
                </c:pt>
              </c:numCache>
            </c:numRef>
          </c:val>
        </c:ser>
        <c:ser>
          <c:idx val="2"/>
          <c:order val="1"/>
          <c:tx>
            <c:strRef>
              <c:f>'Section 3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data'!$G$31:$G$53</c:f>
                <c:numCache>
                  <c:formatCode>General</c:formatCode>
                  <c:ptCount val="23"/>
                  <c:pt idx="0">
                    <c:v>1.3254825652159214</c:v>
                  </c:pt>
                  <c:pt idx="1">
                    <c:v>78.317177471459715</c:v>
                  </c:pt>
                  <c:pt idx="2">
                    <c:v>890.05136421174018</c:v>
                  </c:pt>
                  <c:pt idx="3">
                    <c:v>1363.7527230007991</c:v>
                  </c:pt>
                  <c:pt idx="4">
                    <c:v>950.65202185577903</c:v>
                  </c:pt>
                  <c:pt idx="5">
                    <c:v>509.21680341001149</c:v>
                  </c:pt>
                  <c:pt idx="6">
                    <c:v>319.87421378672678</c:v>
                  </c:pt>
                  <c:pt idx="8">
                    <c:v>26.938894441423045</c:v>
                  </c:pt>
                  <c:pt idx="9">
                    <c:v>210.3905344077474</c:v>
                  </c:pt>
                  <c:pt idx="10">
                    <c:v>743.17961300272236</c:v>
                  </c:pt>
                  <c:pt idx="11">
                    <c:v>1104.5093926123127</c:v>
                  </c:pt>
                  <c:pt idx="12">
                    <c:v>1441.0064578356789</c:v>
                  </c:pt>
                  <c:pt idx="13">
                    <c:v>1765.8237580342759</c:v>
                  </c:pt>
                  <c:pt idx="14">
                    <c:v>1673.6958720850994</c:v>
                  </c:pt>
                  <c:pt idx="16">
                    <c:v>26.989003844689737</c:v>
                  </c:pt>
                  <c:pt idx="17">
                    <c:v>226.54040355268185</c:v>
                  </c:pt>
                  <c:pt idx="18">
                    <c:v>1194.9633463984164</c:v>
                  </c:pt>
                  <c:pt idx="19">
                    <c:v>1774.0041396744791</c:v>
                  </c:pt>
                  <c:pt idx="20">
                    <c:v>1745.1403978291651</c:v>
                  </c:pt>
                  <c:pt idx="21">
                    <c:v>1844.226840393816</c:v>
                  </c:pt>
                  <c:pt idx="22">
                    <c:v>1725.9111676704433</c:v>
                  </c:pt>
                </c:numCache>
              </c:numRef>
            </c:plus>
            <c:minus>
              <c:numRef>
                <c:f>'Section 3 data'!$G$31:$G$53</c:f>
                <c:numCache>
                  <c:formatCode>General</c:formatCode>
                  <c:ptCount val="23"/>
                  <c:pt idx="0">
                    <c:v>1.3254825652159214</c:v>
                  </c:pt>
                  <c:pt idx="1">
                    <c:v>78.317177471459715</c:v>
                  </c:pt>
                  <c:pt idx="2">
                    <c:v>890.05136421174018</c:v>
                  </c:pt>
                  <c:pt idx="3">
                    <c:v>1363.7527230007991</c:v>
                  </c:pt>
                  <c:pt idx="4">
                    <c:v>950.65202185577903</c:v>
                  </c:pt>
                  <c:pt idx="5">
                    <c:v>509.21680341001149</c:v>
                  </c:pt>
                  <c:pt idx="6">
                    <c:v>319.87421378672678</c:v>
                  </c:pt>
                  <c:pt idx="8">
                    <c:v>26.938894441423045</c:v>
                  </c:pt>
                  <c:pt idx="9">
                    <c:v>210.3905344077474</c:v>
                  </c:pt>
                  <c:pt idx="10">
                    <c:v>743.17961300272236</c:v>
                  </c:pt>
                  <c:pt idx="11">
                    <c:v>1104.5093926123127</c:v>
                  </c:pt>
                  <c:pt idx="12">
                    <c:v>1441.0064578356789</c:v>
                  </c:pt>
                  <c:pt idx="13">
                    <c:v>1765.8237580342759</c:v>
                  </c:pt>
                  <c:pt idx="14">
                    <c:v>1673.6958720850994</c:v>
                  </c:pt>
                  <c:pt idx="16">
                    <c:v>26.989003844689737</c:v>
                  </c:pt>
                  <c:pt idx="17">
                    <c:v>226.54040355268185</c:v>
                  </c:pt>
                  <c:pt idx="18">
                    <c:v>1194.9633463984164</c:v>
                  </c:pt>
                  <c:pt idx="19">
                    <c:v>1774.0041396744791</c:v>
                  </c:pt>
                  <c:pt idx="20">
                    <c:v>1745.1403978291651</c:v>
                  </c:pt>
                  <c:pt idx="21">
                    <c:v>1844.226840393816</c:v>
                  </c:pt>
                  <c:pt idx="22">
                    <c:v>1725.9111676704433</c:v>
                  </c:pt>
                </c:numCache>
              </c:numRef>
            </c:minus>
          </c:errBars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data'!$E$31:$E$53</c:f>
              <c:numCache>
                <c:formatCode>#,##0</c:formatCode>
                <c:ptCount val="23"/>
                <c:pt idx="0">
                  <c:v>3.0750000000000002</c:v>
                </c:pt>
                <c:pt idx="1">
                  <c:v>480.685</c:v>
                </c:pt>
                <c:pt idx="2">
                  <c:v>14647.669</c:v>
                </c:pt>
                <c:pt idx="3">
                  <c:v>34734.864999999998</c:v>
                </c:pt>
                <c:pt idx="4">
                  <c:v>10261.851000000001</c:v>
                </c:pt>
                <c:pt idx="5">
                  <c:v>2050.6309999999999</c:v>
                </c:pt>
                <c:pt idx="6">
                  <c:v>1440.7739999999999</c:v>
                </c:pt>
                <c:pt idx="8">
                  <c:v>169.47300000000001</c:v>
                </c:pt>
                <c:pt idx="9">
                  <c:v>4295.6369999999997</c:v>
                </c:pt>
                <c:pt idx="10">
                  <c:v>27238.983</c:v>
                </c:pt>
                <c:pt idx="11">
                  <c:v>33040.970999999998</c:v>
                </c:pt>
                <c:pt idx="12">
                  <c:v>37756.480000000003</c:v>
                </c:pt>
                <c:pt idx="13">
                  <c:v>40434.932000000001</c:v>
                </c:pt>
                <c:pt idx="14">
                  <c:v>26244.654999999999</c:v>
                </c:pt>
                <c:pt idx="16">
                  <c:v>172.727</c:v>
                </c:pt>
                <c:pt idx="17">
                  <c:v>4775.5630000000001</c:v>
                </c:pt>
                <c:pt idx="18">
                  <c:v>41916.129999999997</c:v>
                </c:pt>
                <c:pt idx="19">
                  <c:v>67647.819000000003</c:v>
                </c:pt>
                <c:pt idx="20">
                  <c:v>48086.010999999999</c:v>
                </c:pt>
                <c:pt idx="21">
                  <c:v>42510.186000000002</c:v>
                </c:pt>
                <c:pt idx="22">
                  <c:v>27613.785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193920"/>
        <c:axId val="30203904"/>
      </c:barChart>
      <c:catAx>
        <c:axId val="301939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0203904"/>
        <c:crosses val="autoZero"/>
        <c:auto val="1"/>
        <c:lblAlgn val="ctr"/>
        <c:lblOffset val="100"/>
        <c:noMultiLvlLbl val="0"/>
      </c:catAx>
      <c:valAx>
        <c:axId val="30203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 baseline="0"/>
                  <a:t> obs)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01939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'Section 3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data'!$D$31:$D$53</c:f>
              <c:numCache>
                <c:formatCode>#,##0</c:formatCode>
                <c:ptCount val="23"/>
                <c:pt idx="0">
                  <c:v>5.1269999999999998</c:v>
                </c:pt>
                <c:pt idx="1">
                  <c:v>693.78899999999999</c:v>
                </c:pt>
                <c:pt idx="2">
                  <c:v>7316.4279999999999</c:v>
                </c:pt>
                <c:pt idx="3">
                  <c:v>12454.168</c:v>
                </c:pt>
                <c:pt idx="4">
                  <c:v>4159.808</c:v>
                </c:pt>
                <c:pt idx="5">
                  <c:v>1446.6690000000001</c:v>
                </c:pt>
                <c:pt idx="6">
                  <c:v>299.97900000000004</c:v>
                </c:pt>
                <c:pt idx="8">
                  <c:v>0.187</c:v>
                </c:pt>
                <c:pt idx="9">
                  <c:v>48.951000000000001</c:v>
                </c:pt>
                <c:pt idx="10">
                  <c:v>347.76900000000001</c:v>
                </c:pt>
                <c:pt idx="11">
                  <c:v>1874.788</c:v>
                </c:pt>
                <c:pt idx="12">
                  <c:v>2368.13</c:v>
                </c:pt>
                <c:pt idx="13">
                  <c:v>845.56700000000001</c:v>
                </c:pt>
                <c:pt idx="14">
                  <c:v>3275.5749999999998</c:v>
                </c:pt>
                <c:pt idx="16">
                  <c:v>5.3120000000000003</c:v>
                </c:pt>
                <c:pt idx="17">
                  <c:v>742.74199999999996</c:v>
                </c:pt>
                <c:pt idx="18">
                  <c:v>7664.1930000000002</c:v>
                </c:pt>
                <c:pt idx="19">
                  <c:v>14328.955</c:v>
                </c:pt>
                <c:pt idx="20">
                  <c:v>6527.9380000000001</c:v>
                </c:pt>
                <c:pt idx="21">
                  <c:v>2292.2339999999999</c:v>
                </c:pt>
                <c:pt idx="22">
                  <c:v>3575.5569999999998</c:v>
                </c:pt>
              </c:numCache>
            </c:numRef>
          </c:val>
        </c:ser>
        <c:ser>
          <c:idx val="2"/>
          <c:order val="1"/>
          <c:tx>
            <c:strRef>
              <c:f>'Section 3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data'!$G$31:$G$53</c:f>
                <c:numCache>
                  <c:formatCode>General</c:formatCode>
                  <c:ptCount val="23"/>
                  <c:pt idx="0">
                    <c:v>1.3254825652159214</c:v>
                  </c:pt>
                  <c:pt idx="1">
                    <c:v>78.317177471459715</c:v>
                  </c:pt>
                  <c:pt idx="2">
                    <c:v>890.05136421174018</c:v>
                  </c:pt>
                  <c:pt idx="3">
                    <c:v>1363.7527230007991</c:v>
                  </c:pt>
                  <c:pt idx="4">
                    <c:v>950.65202185577903</c:v>
                  </c:pt>
                  <c:pt idx="5">
                    <c:v>509.21680341001149</c:v>
                  </c:pt>
                  <c:pt idx="6">
                    <c:v>319.87421378672678</c:v>
                  </c:pt>
                  <c:pt idx="8">
                    <c:v>26.938894441423045</c:v>
                  </c:pt>
                  <c:pt idx="9">
                    <c:v>210.3905344077474</c:v>
                  </c:pt>
                  <c:pt idx="10">
                    <c:v>743.17961300272236</c:v>
                  </c:pt>
                  <c:pt idx="11">
                    <c:v>1104.5093926123127</c:v>
                  </c:pt>
                  <c:pt idx="12">
                    <c:v>1441.0064578356789</c:v>
                  </c:pt>
                  <c:pt idx="13">
                    <c:v>1765.8237580342759</c:v>
                  </c:pt>
                  <c:pt idx="14">
                    <c:v>1673.6958720850994</c:v>
                  </c:pt>
                  <c:pt idx="16">
                    <c:v>26.989003844689737</c:v>
                  </c:pt>
                  <c:pt idx="17">
                    <c:v>226.54040355268185</c:v>
                  </c:pt>
                  <c:pt idx="18">
                    <c:v>1194.9633463984164</c:v>
                  </c:pt>
                  <c:pt idx="19">
                    <c:v>1774.0041396744791</c:v>
                  </c:pt>
                  <c:pt idx="20">
                    <c:v>1745.1403978291651</c:v>
                  </c:pt>
                  <c:pt idx="21">
                    <c:v>1844.226840393816</c:v>
                  </c:pt>
                  <c:pt idx="22">
                    <c:v>1725.9111676704433</c:v>
                  </c:pt>
                </c:numCache>
              </c:numRef>
            </c:plus>
            <c:minus>
              <c:numRef>
                <c:f>'Section 3 data'!$G$31:$G$53</c:f>
                <c:numCache>
                  <c:formatCode>General</c:formatCode>
                  <c:ptCount val="23"/>
                  <c:pt idx="0">
                    <c:v>1.3254825652159214</c:v>
                  </c:pt>
                  <c:pt idx="1">
                    <c:v>78.317177471459715</c:v>
                  </c:pt>
                  <c:pt idx="2">
                    <c:v>890.05136421174018</c:v>
                  </c:pt>
                  <c:pt idx="3">
                    <c:v>1363.7527230007991</c:v>
                  </c:pt>
                  <c:pt idx="4">
                    <c:v>950.65202185577903</c:v>
                  </c:pt>
                  <c:pt idx="5">
                    <c:v>509.21680341001149</c:v>
                  </c:pt>
                  <c:pt idx="6">
                    <c:v>319.87421378672678</c:v>
                  </c:pt>
                  <c:pt idx="8">
                    <c:v>26.938894441423045</c:v>
                  </c:pt>
                  <c:pt idx="9">
                    <c:v>210.3905344077474</c:v>
                  </c:pt>
                  <c:pt idx="10">
                    <c:v>743.17961300272236</c:v>
                  </c:pt>
                  <c:pt idx="11">
                    <c:v>1104.5093926123127</c:v>
                  </c:pt>
                  <c:pt idx="12">
                    <c:v>1441.0064578356789</c:v>
                  </c:pt>
                  <c:pt idx="13">
                    <c:v>1765.8237580342759</c:v>
                  </c:pt>
                  <c:pt idx="14">
                    <c:v>1673.6958720850994</c:v>
                  </c:pt>
                  <c:pt idx="16">
                    <c:v>26.989003844689737</c:v>
                  </c:pt>
                  <c:pt idx="17">
                    <c:v>226.54040355268185</c:v>
                  </c:pt>
                  <c:pt idx="18">
                    <c:v>1194.9633463984164</c:v>
                  </c:pt>
                  <c:pt idx="19">
                    <c:v>1774.0041396744791</c:v>
                  </c:pt>
                  <c:pt idx="20">
                    <c:v>1745.1403978291651</c:v>
                  </c:pt>
                  <c:pt idx="21">
                    <c:v>1844.226840393816</c:v>
                  </c:pt>
                  <c:pt idx="22">
                    <c:v>1725.9111676704433</c:v>
                  </c:pt>
                </c:numCache>
              </c:numRef>
            </c:minus>
          </c:errBars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data'!$E$31:$E$53</c:f>
              <c:numCache>
                <c:formatCode>#,##0</c:formatCode>
                <c:ptCount val="23"/>
                <c:pt idx="0">
                  <c:v>3.0750000000000002</c:v>
                </c:pt>
                <c:pt idx="1">
                  <c:v>480.685</c:v>
                </c:pt>
                <c:pt idx="2">
                  <c:v>14647.669</c:v>
                </c:pt>
                <c:pt idx="3">
                  <c:v>34734.864999999998</c:v>
                </c:pt>
                <c:pt idx="4">
                  <c:v>10261.851000000001</c:v>
                </c:pt>
                <c:pt idx="5">
                  <c:v>2050.6309999999999</c:v>
                </c:pt>
                <c:pt idx="6">
                  <c:v>1440.7739999999999</c:v>
                </c:pt>
                <c:pt idx="8">
                  <c:v>169.47300000000001</c:v>
                </c:pt>
                <c:pt idx="9">
                  <c:v>4295.6369999999997</c:v>
                </c:pt>
                <c:pt idx="10">
                  <c:v>27238.983</c:v>
                </c:pt>
                <c:pt idx="11">
                  <c:v>33040.970999999998</c:v>
                </c:pt>
                <c:pt idx="12">
                  <c:v>37756.480000000003</c:v>
                </c:pt>
                <c:pt idx="13">
                  <c:v>40434.932000000001</c:v>
                </c:pt>
                <c:pt idx="14">
                  <c:v>26244.654999999999</c:v>
                </c:pt>
                <c:pt idx="16">
                  <c:v>172.727</c:v>
                </c:pt>
                <c:pt idx="17">
                  <c:v>4775.5630000000001</c:v>
                </c:pt>
                <c:pt idx="18">
                  <c:v>41916.129999999997</c:v>
                </c:pt>
                <c:pt idx="19">
                  <c:v>67647.819000000003</c:v>
                </c:pt>
                <c:pt idx="20">
                  <c:v>48086.010999999999</c:v>
                </c:pt>
                <c:pt idx="21">
                  <c:v>42510.186000000002</c:v>
                </c:pt>
                <c:pt idx="22">
                  <c:v>27613.785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353856"/>
        <c:axId val="29355392"/>
      </c:barChart>
      <c:catAx>
        <c:axId val="2935385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9355392"/>
        <c:crosses val="autoZero"/>
        <c:auto val="1"/>
        <c:lblAlgn val="ctr"/>
        <c:lblOffset val="100"/>
        <c:noMultiLvlLbl val="0"/>
      </c:catAx>
      <c:valAx>
        <c:axId val="29355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935385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67427699821912"/>
          <c:y val="7.8609331020799242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3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data'!$D$58:$D$86</c:f>
              <c:numCache>
                <c:formatCode>#,##0</c:formatCode>
                <c:ptCount val="29"/>
                <c:pt idx="0">
                  <c:v>2.2949999999999999</c:v>
                </c:pt>
                <c:pt idx="1">
                  <c:v>139.02099999999999</c:v>
                </c:pt>
                <c:pt idx="2">
                  <c:v>2427.3470000000002</c:v>
                </c:pt>
                <c:pt idx="3">
                  <c:v>5411.5910000000003</c:v>
                </c:pt>
                <c:pt idx="4">
                  <c:v>7543.76</c:v>
                </c:pt>
                <c:pt idx="5">
                  <c:v>5528.2910000000002</c:v>
                </c:pt>
                <c:pt idx="6">
                  <c:v>4748.2879999999996</c:v>
                </c:pt>
                <c:pt idx="7">
                  <c:v>482.76299999999998</c:v>
                </c:pt>
                <c:pt idx="8">
                  <c:v>92.611999999999995</c:v>
                </c:pt>
                <c:pt idx="10">
                  <c:v>15.93</c:v>
                </c:pt>
                <c:pt idx="11">
                  <c:v>203.191</c:v>
                </c:pt>
                <c:pt idx="12">
                  <c:v>894.41200000000003</c:v>
                </c:pt>
                <c:pt idx="13">
                  <c:v>1269.0039999999999</c:v>
                </c:pt>
                <c:pt idx="14">
                  <c:v>3366.8960000000002</c:v>
                </c:pt>
                <c:pt idx="15">
                  <c:v>2015.145</c:v>
                </c:pt>
                <c:pt idx="16">
                  <c:v>813.71400000000006</c:v>
                </c:pt>
                <c:pt idx="17">
                  <c:v>147.72900000000001</c:v>
                </c:pt>
                <c:pt idx="18">
                  <c:v>34.942999999999998</c:v>
                </c:pt>
                <c:pt idx="20">
                  <c:v>18.222000000000001</c:v>
                </c:pt>
                <c:pt idx="21">
                  <c:v>342.21</c:v>
                </c:pt>
                <c:pt idx="22">
                  <c:v>3321.7579999999998</c:v>
                </c:pt>
                <c:pt idx="23">
                  <c:v>6680.5969999999998</c:v>
                </c:pt>
                <c:pt idx="24">
                  <c:v>10910.656000000001</c:v>
                </c:pt>
                <c:pt idx="25">
                  <c:v>7543.4409999999998</c:v>
                </c:pt>
                <c:pt idx="26">
                  <c:v>5562.0010000000002</c:v>
                </c:pt>
                <c:pt idx="27">
                  <c:v>630.49099999999999</c:v>
                </c:pt>
                <c:pt idx="28">
                  <c:v>127.556</c:v>
                </c:pt>
              </c:numCache>
            </c:numRef>
          </c:val>
        </c:ser>
        <c:ser>
          <c:idx val="1"/>
          <c:order val="1"/>
          <c:tx>
            <c:strRef>
              <c:f>'Section 3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data'!$G$58:$G$86</c:f>
                <c:numCache>
                  <c:formatCode>General</c:formatCode>
                  <c:ptCount val="29"/>
                  <c:pt idx="0">
                    <c:v>1.7489561234108562</c:v>
                  </c:pt>
                  <c:pt idx="1">
                    <c:v>33.919807992533052</c:v>
                  </c:pt>
                  <c:pt idx="2">
                    <c:v>179.05561221050891</c:v>
                  </c:pt>
                  <c:pt idx="3">
                    <c:v>388.36884381228646</c:v>
                  </c:pt>
                  <c:pt idx="4">
                    <c:v>943.4627677192708</c:v>
                  </c:pt>
                  <c:pt idx="5">
                    <c:v>917.18383526544062</c:v>
                  </c:pt>
                  <c:pt idx="6">
                    <c:v>1025.6603044477195</c:v>
                  </c:pt>
                  <c:pt idx="7">
                    <c:v>460.86768663054664</c:v>
                  </c:pt>
                  <c:pt idx="8">
                    <c:v>361.00643993918857</c:v>
                  </c:pt>
                  <c:pt idx="10">
                    <c:v>32.854469098360447</c:v>
                  </c:pt>
                  <c:pt idx="11">
                    <c:v>152.07776297302985</c:v>
                  </c:pt>
                  <c:pt idx="12">
                    <c:v>404.71404334968889</c:v>
                  </c:pt>
                  <c:pt idx="13">
                    <c:v>540.63780356733287</c:v>
                  </c:pt>
                  <c:pt idx="14">
                    <c:v>877.08176270906506</c:v>
                  </c:pt>
                  <c:pt idx="15">
                    <c:v>1047.0963338553581</c:v>
                  </c:pt>
                  <c:pt idx="16">
                    <c:v>1487.2664862816077</c:v>
                  </c:pt>
                  <c:pt idx="17">
                    <c:v>1294.5337019465298</c:v>
                  </c:pt>
                  <c:pt idx="18">
                    <c:v>1542.6730611645899</c:v>
                  </c:pt>
                  <c:pt idx="20">
                    <c:v>32.897199386443496</c:v>
                  </c:pt>
                  <c:pt idx="21">
                    <c:v>155.7921768877064</c:v>
                  </c:pt>
                  <c:pt idx="22">
                    <c:v>441.65033047234579</c:v>
                  </c:pt>
                  <c:pt idx="23">
                    <c:v>670.74490844125796</c:v>
                  </c:pt>
                  <c:pt idx="24">
                    <c:v>1288.9591967119538</c:v>
                  </c:pt>
                  <c:pt idx="25">
                    <c:v>1389.7524175920823</c:v>
                  </c:pt>
                  <c:pt idx="26">
                    <c:v>1804.8378552717086</c:v>
                  </c:pt>
                  <c:pt idx="27">
                    <c:v>1377.347557356152</c:v>
                  </c:pt>
                  <c:pt idx="28">
                    <c:v>1607.9918678414144</c:v>
                  </c:pt>
                </c:numCache>
              </c:numRef>
            </c:plus>
            <c:minus>
              <c:numRef>
                <c:f>'Section 3 data'!$G$58:$G$86</c:f>
                <c:numCache>
                  <c:formatCode>General</c:formatCode>
                  <c:ptCount val="29"/>
                  <c:pt idx="0">
                    <c:v>1.7489561234108562</c:v>
                  </c:pt>
                  <c:pt idx="1">
                    <c:v>33.919807992533052</c:v>
                  </c:pt>
                  <c:pt idx="2">
                    <c:v>179.05561221050891</c:v>
                  </c:pt>
                  <c:pt idx="3">
                    <c:v>388.36884381228646</c:v>
                  </c:pt>
                  <c:pt idx="4">
                    <c:v>943.4627677192708</c:v>
                  </c:pt>
                  <c:pt idx="5">
                    <c:v>917.18383526544062</c:v>
                  </c:pt>
                  <c:pt idx="6">
                    <c:v>1025.6603044477195</c:v>
                  </c:pt>
                  <c:pt idx="7">
                    <c:v>460.86768663054664</c:v>
                  </c:pt>
                  <c:pt idx="8">
                    <c:v>361.00643993918857</c:v>
                  </c:pt>
                  <c:pt idx="10">
                    <c:v>32.854469098360447</c:v>
                  </c:pt>
                  <c:pt idx="11">
                    <c:v>152.07776297302985</c:v>
                  </c:pt>
                  <c:pt idx="12">
                    <c:v>404.71404334968889</c:v>
                  </c:pt>
                  <c:pt idx="13">
                    <c:v>540.63780356733287</c:v>
                  </c:pt>
                  <c:pt idx="14">
                    <c:v>877.08176270906506</c:v>
                  </c:pt>
                  <c:pt idx="15">
                    <c:v>1047.0963338553581</c:v>
                  </c:pt>
                  <c:pt idx="16">
                    <c:v>1487.2664862816077</c:v>
                  </c:pt>
                  <c:pt idx="17">
                    <c:v>1294.5337019465298</c:v>
                  </c:pt>
                  <c:pt idx="18">
                    <c:v>1542.6730611645899</c:v>
                  </c:pt>
                  <c:pt idx="20">
                    <c:v>32.897199386443496</c:v>
                  </c:pt>
                  <c:pt idx="21">
                    <c:v>155.7921768877064</c:v>
                  </c:pt>
                  <c:pt idx="22">
                    <c:v>441.65033047234579</c:v>
                  </c:pt>
                  <c:pt idx="23">
                    <c:v>670.74490844125796</c:v>
                  </c:pt>
                  <c:pt idx="24">
                    <c:v>1288.9591967119538</c:v>
                  </c:pt>
                  <c:pt idx="25">
                    <c:v>1389.7524175920823</c:v>
                  </c:pt>
                  <c:pt idx="26">
                    <c:v>1804.8378552717086</c:v>
                  </c:pt>
                  <c:pt idx="27">
                    <c:v>1377.347557356152</c:v>
                  </c:pt>
                  <c:pt idx="28">
                    <c:v>1607.9918678414144</c:v>
                  </c:pt>
                </c:numCache>
              </c:numRef>
            </c:minus>
          </c:errBars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data'!$E$58:$E$86</c:f>
              <c:numCache>
                <c:formatCode>#,##0</c:formatCode>
                <c:ptCount val="29"/>
                <c:pt idx="0">
                  <c:v>5.2270000000000003</c:v>
                </c:pt>
                <c:pt idx="1">
                  <c:v>242.102</c:v>
                </c:pt>
                <c:pt idx="2">
                  <c:v>1615.317</c:v>
                </c:pt>
                <c:pt idx="3">
                  <c:v>4920.7839999999997</c:v>
                </c:pt>
                <c:pt idx="4">
                  <c:v>18811.916000000001</c:v>
                </c:pt>
                <c:pt idx="5">
                  <c:v>19182.626</c:v>
                </c:pt>
                <c:pt idx="6">
                  <c:v>15026.465</c:v>
                </c:pt>
                <c:pt idx="7">
                  <c:v>2031.1420000000001</c:v>
                </c:pt>
                <c:pt idx="8">
                  <c:v>1783.97</c:v>
                </c:pt>
                <c:pt idx="10">
                  <c:v>538.80200000000002</c:v>
                </c:pt>
                <c:pt idx="11">
                  <c:v>5505.3019999999997</c:v>
                </c:pt>
                <c:pt idx="12">
                  <c:v>13052.005999999999</c:v>
                </c:pt>
                <c:pt idx="13">
                  <c:v>14382.206</c:v>
                </c:pt>
                <c:pt idx="14">
                  <c:v>29525.295999999998</c:v>
                </c:pt>
                <c:pt idx="15">
                  <c:v>26225.871999999999</c:v>
                </c:pt>
                <c:pt idx="16">
                  <c:v>39663.307999999997</c:v>
                </c:pt>
                <c:pt idx="17">
                  <c:v>21990.748</c:v>
                </c:pt>
                <c:pt idx="18">
                  <c:v>18297.591</c:v>
                </c:pt>
                <c:pt idx="20">
                  <c:v>544.46699999999998</c:v>
                </c:pt>
                <c:pt idx="21">
                  <c:v>5754.1930000000002</c:v>
                </c:pt>
                <c:pt idx="22">
                  <c:v>14693.807000000001</c:v>
                </c:pt>
                <c:pt idx="23">
                  <c:v>19341.521000000001</c:v>
                </c:pt>
                <c:pt idx="24">
                  <c:v>48189.385999999999</c:v>
                </c:pt>
                <c:pt idx="25">
                  <c:v>45456.646999999997</c:v>
                </c:pt>
                <c:pt idx="26">
                  <c:v>54686.239999999998</c:v>
                </c:pt>
                <c:pt idx="27">
                  <c:v>23943.234</c:v>
                </c:pt>
                <c:pt idx="28">
                  <c:v>20112.724999999999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22816"/>
        <c:axId val="29924352"/>
      </c:barChart>
      <c:catAx>
        <c:axId val="299228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9924352"/>
        <c:crosses val="autoZero"/>
        <c:auto val="1"/>
        <c:lblAlgn val="ctr"/>
        <c:lblOffset val="100"/>
        <c:noMultiLvlLbl val="0"/>
      </c:catAx>
      <c:valAx>
        <c:axId val="29924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99228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7427699821912"/>
          <c:y val="7.8609331020799242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3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data'!$D$58:$D$86</c:f>
              <c:numCache>
                <c:formatCode>#,##0</c:formatCode>
                <c:ptCount val="29"/>
                <c:pt idx="0">
                  <c:v>2.2949999999999999</c:v>
                </c:pt>
                <c:pt idx="1">
                  <c:v>139.02099999999999</c:v>
                </c:pt>
                <c:pt idx="2">
                  <c:v>2427.3470000000002</c:v>
                </c:pt>
                <c:pt idx="3">
                  <c:v>5411.5910000000003</c:v>
                </c:pt>
                <c:pt idx="4">
                  <c:v>7543.76</c:v>
                </c:pt>
                <c:pt idx="5">
                  <c:v>5528.2910000000002</c:v>
                </c:pt>
                <c:pt idx="6">
                  <c:v>4748.2879999999996</c:v>
                </c:pt>
                <c:pt idx="7">
                  <c:v>482.76299999999998</c:v>
                </c:pt>
                <c:pt idx="8">
                  <c:v>92.611999999999995</c:v>
                </c:pt>
                <c:pt idx="10">
                  <c:v>15.93</c:v>
                </c:pt>
                <c:pt idx="11">
                  <c:v>203.191</c:v>
                </c:pt>
                <c:pt idx="12">
                  <c:v>894.41200000000003</c:v>
                </c:pt>
                <c:pt idx="13">
                  <c:v>1269.0039999999999</c:v>
                </c:pt>
                <c:pt idx="14">
                  <c:v>3366.8960000000002</c:v>
                </c:pt>
                <c:pt idx="15">
                  <c:v>2015.145</c:v>
                </c:pt>
                <c:pt idx="16">
                  <c:v>813.71400000000006</c:v>
                </c:pt>
                <c:pt idx="17">
                  <c:v>147.72900000000001</c:v>
                </c:pt>
                <c:pt idx="18">
                  <c:v>34.942999999999998</c:v>
                </c:pt>
                <c:pt idx="20">
                  <c:v>18.222000000000001</c:v>
                </c:pt>
                <c:pt idx="21">
                  <c:v>342.21</c:v>
                </c:pt>
                <c:pt idx="22">
                  <c:v>3321.7579999999998</c:v>
                </c:pt>
                <c:pt idx="23">
                  <c:v>6680.5969999999998</c:v>
                </c:pt>
                <c:pt idx="24">
                  <c:v>10910.656000000001</c:v>
                </c:pt>
                <c:pt idx="25">
                  <c:v>7543.4409999999998</c:v>
                </c:pt>
                <c:pt idx="26">
                  <c:v>5562.0010000000002</c:v>
                </c:pt>
                <c:pt idx="27">
                  <c:v>630.49099999999999</c:v>
                </c:pt>
                <c:pt idx="28">
                  <c:v>127.556</c:v>
                </c:pt>
              </c:numCache>
            </c:numRef>
          </c:val>
        </c:ser>
        <c:ser>
          <c:idx val="1"/>
          <c:order val="1"/>
          <c:tx>
            <c:strRef>
              <c:f>'Section 3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data'!$G$58:$G$86</c:f>
                <c:numCache>
                  <c:formatCode>General</c:formatCode>
                  <c:ptCount val="29"/>
                  <c:pt idx="0">
                    <c:v>1.7489561234108562</c:v>
                  </c:pt>
                  <c:pt idx="1">
                    <c:v>33.919807992533052</c:v>
                  </c:pt>
                  <c:pt idx="2">
                    <c:v>179.05561221050891</c:v>
                  </c:pt>
                  <c:pt idx="3">
                    <c:v>388.36884381228646</c:v>
                  </c:pt>
                  <c:pt idx="4">
                    <c:v>943.4627677192708</c:v>
                  </c:pt>
                  <c:pt idx="5">
                    <c:v>917.18383526544062</c:v>
                  </c:pt>
                  <c:pt idx="6">
                    <c:v>1025.6603044477195</c:v>
                  </c:pt>
                  <c:pt idx="7">
                    <c:v>460.86768663054664</c:v>
                  </c:pt>
                  <c:pt idx="8">
                    <c:v>361.00643993918857</c:v>
                  </c:pt>
                  <c:pt idx="10">
                    <c:v>32.854469098360447</c:v>
                  </c:pt>
                  <c:pt idx="11">
                    <c:v>152.07776297302985</c:v>
                  </c:pt>
                  <c:pt idx="12">
                    <c:v>404.71404334968889</c:v>
                  </c:pt>
                  <c:pt idx="13">
                    <c:v>540.63780356733287</c:v>
                  </c:pt>
                  <c:pt idx="14">
                    <c:v>877.08176270906506</c:v>
                  </c:pt>
                  <c:pt idx="15">
                    <c:v>1047.0963338553581</c:v>
                  </c:pt>
                  <c:pt idx="16">
                    <c:v>1487.2664862816077</c:v>
                  </c:pt>
                  <c:pt idx="17">
                    <c:v>1294.5337019465298</c:v>
                  </c:pt>
                  <c:pt idx="18">
                    <c:v>1542.6730611645899</c:v>
                  </c:pt>
                  <c:pt idx="20">
                    <c:v>32.897199386443496</c:v>
                  </c:pt>
                  <c:pt idx="21">
                    <c:v>155.7921768877064</c:v>
                  </c:pt>
                  <c:pt idx="22">
                    <c:v>441.65033047234579</c:v>
                  </c:pt>
                  <c:pt idx="23">
                    <c:v>670.74490844125796</c:v>
                  </c:pt>
                  <c:pt idx="24">
                    <c:v>1288.9591967119538</c:v>
                  </c:pt>
                  <c:pt idx="25">
                    <c:v>1389.7524175920823</c:v>
                  </c:pt>
                  <c:pt idx="26">
                    <c:v>1804.8378552717086</c:v>
                  </c:pt>
                  <c:pt idx="27">
                    <c:v>1377.347557356152</c:v>
                  </c:pt>
                  <c:pt idx="28">
                    <c:v>1607.9918678414144</c:v>
                  </c:pt>
                </c:numCache>
              </c:numRef>
            </c:plus>
            <c:minus>
              <c:numRef>
                <c:f>'Section 3 data'!$G$58:$G$86</c:f>
                <c:numCache>
                  <c:formatCode>General</c:formatCode>
                  <c:ptCount val="29"/>
                  <c:pt idx="0">
                    <c:v>1.7489561234108562</c:v>
                  </c:pt>
                  <c:pt idx="1">
                    <c:v>33.919807992533052</c:v>
                  </c:pt>
                  <c:pt idx="2">
                    <c:v>179.05561221050891</c:v>
                  </c:pt>
                  <c:pt idx="3">
                    <c:v>388.36884381228646</c:v>
                  </c:pt>
                  <c:pt idx="4">
                    <c:v>943.4627677192708</c:v>
                  </c:pt>
                  <c:pt idx="5">
                    <c:v>917.18383526544062</c:v>
                  </c:pt>
                  <c:pt idx="6">
                    <c:v>1025.6603044477195</c:v>
                  </c:pt>
                  <c:pt idx="7">
                    <c:v>460.86768663054664</c:v>
                  </c:pt>
                  <c:pt idx="8">
                    <c:v>361.00643993918857</c:v>
                  </c:pt>
                  <c:pt idx="10">
                    <c:v>32.854469098360447</c:v>
                  </c:pt>
                  <c:pt idx="11">
                    <c:v>152.07776297302985</c:v>
                  </c:pt>
                  <c:pt idx="12">
                    <c:v>404.71404334968889</c:v>
                  </c:pt>
                  <c:pt idx="13">
                    <c:v>540.63780356733287</c:v>
                  </c:pt>
                  <c:pt idx="14">
                    <c:v>877.08176270906506</c:v>
                  </c:pt>
                  <c:pt idx="15">
                    <c:v>1047.0963338553581</c:v>
                  </c:pt>
                  <c:pt idx="16">
                    <c:v>1487.2664862816077</c:v>
                  </c:pt>
                  <c:pt idx="17">
                    <c:v>1294.5337019465298</c:v>
                  </c:pt>
                  <c:pt idx="18">
                    <c:v>1542.6730611645899</c:v>
                  </c:pt>
                  <c:pt idx="20">
                    <c:v>32.897199386443496</c:v>
                  </c:pt>
                  <c:pt idx="21">
                    <c:v>155.7921768877064</c:v>
                  </c:pt>
                  <c:pt idx="22">
                    <c:v>441.65033047234579</c:v>
                  </c:pt>
                  <c:pt idx="23">
                    <c:v>670.74490844125796</c:v>
                  </c:pt>
                  <c:pt idx="24">
                    <c:v>1288.9591967119538</c:v>
                  </c:pt>
                  <c:pt idx="25">
                    <c:v>1389.7524175920823</c:v>
                  </c:pt>
                  <c:pt idx="26">
                    <c:v>1804.8378552717086</c:v>
                  </c:pt>
                  <c:pt idx="27">
                    <c:v>1377.347557356152</c:v>
                  </c:pt>
                  <c:pt idx="28">
                    <c:v>1607.9918678414144</c:v>
                  </c:pt>
                </c:numCache>
              </c:numRef>
            </c:minus>
          </c:errBars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data'!$E$58:$E$86</c:f>
              <c:numCache>
                <c:formatCode>#,##0</c:formatCode>
                <c:ptCount val="29"/>
                <c:pt idx="0">
                  <c:v>5.2270000000000003</c:v>
                </c:pt>
                <c:pt idx="1">
                  <c:v>242.102</c:v>
                </c:pt>
                <c:pt idx="2">
                  <c:v>1615.317</c:v>
                </c:pt>
                <c:pt idx="3">
                  <c:v>4920.7839999999997</c:v>
                </c:pt>
                <c:pt idx="4">
                  <c:v>18811.916000000001</c:v>
                </c:pt>
                <c:pt idx="5">
                  <c:v>19182.626</c:v>
                </c:pt>
                <c:pt idx="6">
                  <c:v>15026.465</c:v>
                </c:pt>
                <c:pt idx="7">
                  <c:v>2031.1420000000001</c:v>
                </c:pt>
                <c:pt idx="8">
                  <c:v>1783.97</c:v>
                </c:pt>
                <c:pt idx="10">
                  <c:v>538.80200000000002</c:v>
                </c:pt>
                <c:pt idx="11">
                  <c:v>5505.3019999999997</c:v>
                </c:pt>
                <c:pt idx="12">
                  <c:v>13052.005999999999</c:v>
                </c:pt>
                <c:pt idx="13">
                  <c:v>14382.206</c:v>
                </c:pt>
                <c:pt idx="14">
                  <c:v>29525.295999999998</c:v>
                </c:pt>
                <c:pt idx="15">
                  <c:v>26225.871999999999</c:v>
                </c:pt>
                <c:pt idx="16">
                  <c:v>39663.307999999997</c:v>
                </c:pt>
                <c:pt idx="17">
                  <c:v>21990.748</c:v>
                </c:pt>
                <c:pt idx="18">
                  <c:v>18297.591</c:v>
                </c:pt>
                <c:pt idx="20">
                  <c:v>544.46699999999998</c:v>
                </c:pt>
                <c:pt idx="21">
                  <c:v>5754.1930000000002</c:v>
                </c:pt>
                <c:pt idx="22">
                  <c:v>14693.807000000001</c:v>
                </c:pt>
                <c:pt idx="23">
                  <c:v>19341.521000000001</c:v>
                </c:pt>
                <c:pt idx="24">
                  <c:v>48189.385999999999</c:v>
                </c:pt>
                <c:pt idx="25">
                  <c:v>45456.646999999997</c:v>
                </c:pt>
                <c:pt idx="26">
                  <c:v>54686.239999999998</c:v>
                </c:pt>
                <c:pt idx="27">
                  <c:v>23943.234</c:v>
                </c:pt>
                <c:pt idx="28">
                  <c:v>20112.724999999999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37824"/>
        <c:axId val="30239360"/>
      </c:barChart>
      <c:catAx>
        <c:axId val="302378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0239360"/>
        <c:crosses val="autoZero"/>
        <c:auto val="1"/>
        <c:lblAlgn val="ctr"/>
        <c:lblOffset val="100"/>
        <c:noMultiLvlLbl val="0"/>
      </c:catAx>
      <c:valAx>
        <c:axId val="3023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layout>
            <c:manualLayout>
              <c:xMode val="edge"/>
              <c:yMode val="edge"/>
              <c:x val="0.39120738964816415"/>
              <c:y val="0.7972587242520227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02378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104374317970688"/>
          <c:y val="0.46288312202960152"/>
          <c:w val="8.9193248061921165E-2"/>
          <c:h val="6.87183078330306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Number of trees of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4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4 data'!$H$8:$H$26</c:f>
              <c:numCache>
                <c:formatCode>#,##0</c:formatCode>
                <c:ptCount val="19"/>
                <c:pt idx="0">
                  <c:v>113585.47899999999</c:v>
                </c:pt>
                <c:pt idx="1">
                  <c:v>42095.63</c:v>
                </c:pt>
                <c:pt idx="2">
                  <c:v>41301.982000000004</c:v>
                </c:pt>
                <c:pt idx="3">
                  <c:v>24588.754999999997</c:v>
                </c:pt>
                <c:pt idx="4">
                  <c:v>31731.709000000003</c:v>
                </c:pt>
                <c:pt idx="5">
                  <c:v>18734.035</c:v>
                </c:pt>
                <c:pt idx="6">
                  <c:v>13566.633000000002</c:v>
                </c:pt>
                <c:pt idx="7">
                  <c:v>19077.199000000001</c:v>
                </c:pt>
                <c:pt idx="8">
                  <c:v>108365.696</c:v>
                </c:pt>
                <c:pt idx="9">
                  <c:v>52292.724000000002</c:v>
                </c:pt>
                <c:pt idx="10">
                  <c:v>73559.851999999999</c:v>
                </c:pt>
                <c:pt idx="11">
                  <c:v>115581.29</c:v>
                </c:pt>
                <c:pt idx="12">
                  <c:v>127131.879</c:v>
                </c:pt>
                <c:pt idx="13">
                  <c:v>46030.64</c:v>
                </c:pt>
                <c:pt idx="14">
                  <c:v>132406.50600000002</c:v>
                </c:pt>
                <c:pt idx="15">
                  <c:v>94661.347000000009</c:v>
                </c:pt>
                <c:pt idx="16">
                  <c:v>34876.801999999996</c:v>
                </c:pt>
                <c:pt idx="17">
                  <c:v>63855.115999999995</c:v>
                </c:pt>
                <c:pt idx="18">
                  <c:v>192668.391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734016"/>
        <c:axId val="29731840"/>
      </c:barChart>
      <c:valAx>
        <c:axId val="29731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9734016"/>
        <c:crosses val="max"/>
        <c:crossBetween val="between"/>
      </c:valAx>
      <c:catAx>
        <c:axId val="29734016"/>
        <c:scaling>
          <c:orientation val="maxMin"/>
        </c:scaling>
        <c:delete val="0"/>
        <c:axPos val="l"/>
        <c:majorTickMark val="out"/>
        <c:minorTickMark val="none"/>
        <c:tickLblPos val="nextTo"/>
        <c:crossAx val="297318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'Eng Table 3'!$C$5:$D$5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3'!$C$8:$C$21</c:f>
              <c:numCache>
                <c:formatCode>#,##0</c:formatCode>
                <c:ptCount val="14"/>
                <c:pt idx="0">
                  <c:v>20804.708484442643</c:v>
                </c:pt>
                <c:pt idx="1">
                  <c:v>11420.094708878294</c:v>
                </c:pt>
                <c:pt idx="2">
                  <c:v>23938.951856823569</c:v>
                </c:pt>
                <c:pt idx="3">
                  <c:v>8258.640787653736</c:v>
                </c:pt>
                <c:pt idx="4">
                  <c:v>1369.2418280285342</c:v>
                </c:pt>
                <c:pt idx="5">
                  <c:v>826.20868947452357</c:v>
                </c:pt>
                <c:pt idx="6">
                  <c:v>6438.8950261565169</c:v>
                </c:pt>
                <c:pt idx="7">
                  <c:v>10811.035781528963</c:v>
                </c:pt>
                <c:pt idx="8">
                  <c:v>50310.54669426012</c:v>
                </c:pt>
                <c:pt idx="9">
                  <c:v>23907.63800077952</c:v>
                </c:pt>
                <c:pt idx="10">
                  <c:v>3085.8239381461217</c:v>
                </c:pt>
                <c:pt idx="11">
                  <c:v>12743.216682970593</c:v>
                </c:pt>
                <c:pt idx="12">
                  <c:v>22284.870660793447</c:v>
                </c:pt>
                <c:pt idx="13">
                  <c:v>19256.12847700169</c:v>
                </c:pt>
              </c:numCache>
            </c:numRef>
          </c:val>
        </c:ser>
        <c:ser>
          <c:idx val="1"/>
          <c:order val="1"/>
          <c:tx>
            <c:strRef>
              <c:f>'Eng Table 3'!$E$5:$F$5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3'!$E$8:$E$21</c:f>
              <c:numCache>
                <c:formatCode>#,##0</c:formatCode>
                <c:ptCount val="14"/>
                <c:pt idx="0">
                  <c:v>67415.054173327764</c:v>
                </c:pt>
                <c:pt idx="1">
                  <c:v>100357.04159450375</c:v>
                </c:pt>
                <c:pt idx="2">
                  <c:v>109000.88321787774</c:v>
                </c:pt>
                <c:pt idx="3">
                  <c:v>48224.516842254277</c:v>
                </c:pt>
                <c:pt idx="4">
                  <c:v>28080.450864476428</c:v>
                </c:pt>
                <c:pt idx="5">
                  <c:v>34345.318065874766</c:v>
                </c:pt>
                <c:pt idx="6">
                  <c:v>96826.381745583931</c:v>
                </c:pt>
                <c:pt idx="7">
                  <c:v>39302.955176832198</c:v>
                </c:pt>
                <c:pt idx="8">
                  <c:v>65819.304484896493</c:v>
                </c:pt>
                <c:pt idx="9">
                  <c:v>96977.99753970874</c:v>
                </c:pt>
                <c:pt idx="10">
                  <c:v>94158.151240498482</c:v>
                </c:pt>
                <c:pt idx="11">
                  <c:v>92265.729386850697</c:v>
                </c:pt>
                <c:pt idx="12">
                  <c:v>118379.28714251732</c:v>
                </c:pt>
                <c:pt idx="13">
                  <c:v>91056.514669832744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7009536"/>
        <c:axId val="127011072"/>
      </c:barChart>
      <c:catAx>
        <c:axId val="1270095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27011072"/>
        <c:crosses val="autoZero"/>
        <c:auto val="1"/>
        <c:lblAlgn val="ctr"/>
        <c:lblOffset val="100"/>
        <c:noMultiLvlLbl val="0"/>
      </c:catAx>
      <c:valAx>
        <c:axId val="127011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aseline="0"/>
                </a:pPr>
                <a:r>
                  <a:rPr lang="en-US" sz="1400" baseline="0"/>
                  <a:t>Area (ha)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2700953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777395075175196"/>
          <c:w val="0.63771113409169256"/>
          <c:h val="0.765107512388143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4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4 data'!$H$8:$H$26</c:f>
              <c:numCache>
                <c:formatCode>#,##0</c:formatCode>
                <c:ptCount val="19"/>
                <c:pt idx="0">
                  <c:v>113585.47899999999</c:v>
                </c:pt>
                <c:pt idx="1">
                  <c:v>42095.63</c:v>
                </c:pt>
                <c:pt idx="2">
                  <c:v>41301.982000000004</c:v>
                </c:pt>
                <c:pt idx="3">
                  <c:v>24588.754999999997</c:v>
                </c:pt>
                <c:pt idx="4">
                  <c:v>31731.709000000003</c:v>
                </c:pt>
                <c:pt idx="5">
                  <c:v>18734.035</c:v>
                </c:pt>
                <c:pt idx="6">
                  <c:v>13566.633000000002</c:v>
                </c:pt>
                <c:pt idx="7">
                  <c:v>19077.199000000001</c:v>
                </c:pt>
                <c:pt idx="8">
                  <c:v>108365.696</c:v>
                </c:pt>
                <c:pt idx="9">
                  <c:v>52292.724000000002</c:v>
                </c:pt>
                <c:pt idx="10">
                  <c:v>73559.851999999999</c:v>
                </c:pt>
                <c:pt idx="11">
                  <c:v>115581.29</c:v>
                </c:pt>
                <c:pt idx="12">
                  <c:v>127131.879</c:v>
                </c:pt>
                <c:pt idx="13">
                  <c:v>46030.64</c:v>
                </c:pt>
                <c:pt idx="14">
                  <c:v>132406.50600000002</c:v>
                </c:pt>
                <c:pt idx="15">
                  <c:v>94661.347000000009</c:v>
                </c:pt>
                <c:pt idx="16">
                  <c:v>34876.801999999996</c:v>
                </c:pt>
                <c:pt idx="17">
                  <c:v>63855.115999999995</c:v>
                </c:pt>
                <c:pt idx="18">
                  <c:v>192668.391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853376"/>
        <c:axId val="30851456"/>
      </c:barChart>
      <c:valAx>
        <c:axId val="30851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0853376"/>
        <c:crosses val="max"/>
        <c:crossBetween val="between"/>
      </c:valAx>
      <c:catAx>
        <c:axId val="30853376"/>
        <c:scaling>
          <c:orientation val="maxMin"/>
        </c:scaling>
        <c:delete val="0"/>
        <c:axPos val="l"/>
        <c:majorTickMark val="out"/>
        <c:minorTickMark val="none"/>
        <c:tickLblPos val="nextTo"/>
        <c:crossAx val="308514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Number</a:t>
            </a:r>
            <a:r>
              <a:rPr lang="en-GB" baseline="0"/>
              <a:t> </a:t>
            </a:r>
            <a:r>
              <a:rPr lang="en-GB"/>
              <a:t>of</a:t>
            </a:r>
            <a:r>
              <a:rPr lang="en-GB" baseline="0"/>
              <a:t> all conifers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country'!$G$7:$G$20</c:f>
              <c:numCache>
                <c:formatCode>#,##0</c:formatCode>
                <c:ptCount val="14"/>
                <c:pt idx="0">
                  <c:v>21655.496999999999</c:v>
                </c:pt>
                <c:pt idx="1">
                  <c:v>7957.8720000000003</c:v>
                </c:pt>
                <c:pt idx="2">
                  <c:v>18879.43</c:v>
                </c:pt>
                <c:pt idx="3">
                  <c:v>3794.451</c:v>
                </c:pt>
                <c:pt idx="4">
                  <c:v>509.09300000000002</c:v>
                </c:pt>
                <c:pt idx="5">
                  <c:v>152.40199999999999</c:v>
                </c:pt>
                <c:pt idx="6">
                  <c:v>2597.6170000000002</c:v>
                </c:pt>
                <c:pt idx="7">
                  <c:v>2461.973</c:v>
                </c:pt>
                <c:pt idx="8">
                  <c:v>58021.981</c:v>
                </c:pt>
                <c:pt idx="9">
                  <c:v>6295.808</c:v>
                </c:pt>
                <c:pt idx="10">
                  <c:v>825.09900000000005</c:v>
                </c:pt>
                <c:pt idx="11">
                  <c:v>4918.6819999999998</c:v>
                </c:pt>
                <c:pt idx="12">
                  <c:v>8521.9660000000003</c:v>
                </c:pt>
                <c:pt idx="13">
                  <c:v>13108.904</c:v>
                </c:pt>
              </c:numCache>
            </c:numRef>
          </c:val>
        </c:ser>
        <c:ser>
          <c:idx val="1"/>
          <c:order val="1"/>
          <c:tx>
            <c:strRef>
              <c:f>'Section 4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country'!$Q$7:$Q$20</c:f>
                <c:numCache>
                  <c:formatCode>General</c:formatCode>
                  <c:ptCount val="14"/>
                  <c:pt idx="0">
                    <c:v>1601.0868424</c:v>
                  </c:pt>
                  <c:pt idx="1">
                    <c:v>1458.158234</c:v>
                  </c:pt>
                  <c:pt idx="2">
                    <c:v>979.32809519999978</c:v>
                  </c:pt>
                  <c:pt idx="3">
                    <c:v>815.41131999999993</c:v>
                  </c:pt>
                  <c:pt idx="4">
                    <c:v>467.85257100000001</c:v>
                  </c:pt>
                  <c:pt idx="5">
                    <c:v>426.14834360000009</c:v>
                  </c:pt>
                  <c:pt idx="6">
                    <c:v>746.80181479999999</c:v>
                  </c:pt>
                  <c:pt idx="7">
                    <c:v>734.10258239999996</c:v>
                  </c:pt>
                  <c:pt idx="8">
                    <c:v>2671.9435691000003</c:v>
                  </c:pt>
                  <c:pt idx="9">
                    <c:v>1119.9947615999999</c:v>
                  </c:pt>
                  <c:pt idx="10">
                    <c:v>1041.6688595999999</c:v>
                  </c:pt>
                  <c:pt idx="11">
                    <c:v>827.54145439999991</c:v>
                  </c:pt>
                  <c:pt idx="12">
                    <c:v>1187.2342646999998</c:v>
                  </c:pt>
                  <c:pt idx="13">
                    <c:v>1238.5165740000002</c:v>
                  </c:pt>
                </c:numCache>
              </c:numRef>
            </c:plus>
            <c:minus>
              <c:numRef>
                <c:f>'Section 4 data country'!$Q$7:$Q$20</c:f>
                <c:numCache>
                  <c:formatCode>General</c:formatCode>
                  <c:ptCount val="14"/>
                  <c:pt idx="0">
                    <c:v>1601.0868424</c:v>
                  </c:pt>
                  <c:pt idx="1">
                    <c:v>1458.158234</c:v>
                  </c:pt>
                  <c:pt idx="2">
                    <c:v>979.32809519999978</c:v>
                  </c:pt>
                  <c:pt idx="3">
                    <c:v>815.41131999999993</c:v>
                  </c:pt>
                  <c:pt idx="4">
                    <c:v>467.85257100000001</c:v>
                  </c:pt>
                  <c:pt idx="5">
                    <c:v>426.14834360000009</c:v>
                  </c:pt>
                  <c:pt idx="6">
                    <c:v>746.80181479999999</c:v>
                  </c:pt>
                  <c:pt idx="7">
                    <c:v>734.10258239999996</c:v>
                  </c:pt>
                  <c:pt idx="8">
                    <c:v>2671.9435691000003</c:v>
                  </c:pt>
                  <c:pt idx="9">
                    <c:v>1119.9947615999999</c:v>
                  </c:pt>
                  <c:pt idx="10">
                    <c:v>1041.6688595999999</c:v>
                  </c:pt>
                  <c:pt idx="11">
                    <c:v>827.54145439999991</c:v>
                  </c:pt>
                  <c:pt idx="12">
                    <c:v>1187.2342646999998</c:v>
                  </c:pt>
                  <c:pt idx="13">
                    <c:v>1238.5165740000002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country'!$H$7:$H$20</c:f>
              <c:numCache>
                <c:formatCode>#,##0</c:formatCode>
                <c:ptCount val="14"/>
                <c:pt idx="0">
                  <c:v>17479.114000000001</c:v>
                </c:pt>
                <c:pt idx="1">
                  <c:v>15157.57</c:v>
                </c:pt>
                <c:pt idx="2">
                  <c:v>10462.906999999999</c:v>
                </c:pt>
                <c:pt idx="3">
                  <c:v>5483.6</c:v>
                </c:pt>
                <c:pt idx="4">
                  <c:v>1634.7049999999999</c:v>
                </c:pt>
                <c:pt idx="5">
                  <c:v>2050.7620000000002</c:v>
                </c:pt>
                <c:pt idx="6">
                  <c:v>6826.3419999999996</c:v>
                </c:pt>
                <c:pt idx="7">
                  <c:v>4037.9679999999998</c:v>
                </c:pt>
                <c:pt idx="8">
                  <c:v>28155.359</c:v>
                </c:pt>
                <c:pt idx="9">
                  <c:v>11965.755999999999</c:v>
                </c:pt>
                <c:pt idx="10">
                  <c:v>10385.531999999999</c:v>
                </c:pt>
                <c:pt idx="11">
                  <c:v>10318.472</c:v>
                </c:pt>
                <c:pt idx="12">
                  <c:v>13060.883</c:v>
                </c:pt>
                <c:pt idx="13">
                  <c:v>18485.322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14144"/>
        <c:axId val="30618752"/>
      </c:barChart>
      <c:catAx>
        <c:axId val="29814144"/>
        <c:scaling>
          <c:orientation val="maxMin"/>
        </c:scaling>
        <c:delete val="0"/>
        <c:axPos val="l"/>
        <c:majorTickMark val="out"/>
        <c:minorTickMark val="none"/>
        <c:tickLblPos val="nextTo"/>
        <c:crossAx val="30618752"/>
        <c:crosses val="autoZero"/>
        <c:auto val="1"/>
        <c:lblAlgn val="ctr"/>
        <c:lblOffset val="100"/>
        <c:tickLblSkip val="1"/>
        <c:noMultiLvlLbl val="0"/>
      </c:catAx>
      <c:valAx>
        <c:axId val="30618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98141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country'!$G$7:$G$20</c:f>
              <c:numCache>
                <c:formatCode>#,##0</c:formatCode>
                <c:ptCount val="14"/>
                <c:pt idx="0">
                  <c:v>21655.496999999999</c:v>
                </c:pt>
                <c:pt idx="1">
                  <c:v>7957.8720000000003</c:v>
                </c:pt>
                <c:pt idx="2">
                  <c:v>18879.43</c:v>
                </c:pt>
                <c:pt idx="3">
                  <c:v>3794.451</c:v>
                </c:pt>
                <c:pt idx="4">
                  <c:v>509.09300000000002</c:v>
                </c:pt>
                <c:pt idx="5">
                  <c:v>152.40199999999999</c:v>
                </c:pt>
                <c:pt idx="6">
                  <c:v>2597.6170000000002</c:v>
                </c:pt>
                <c:pt idx="7">
                  <c:v>2461.973</c:v>
                </c:pt>
                <c:pt idx="8">
                  <c:v>58021.981</c:v>
                </c:pt>
                <c:pt idx="9">
                  <c:v>6295.808</c:v>
                </c:pt>
                <c:pt idx="10">
                  <c:v>825.09900000000005</c:v>
                </c:pt>
                <c:pt idx="11">
                  <c:v>4918.6819999999998</c:v>
                </c:pt>
                <c:pt idx="12">
                  <c:v>8521.9660000000003</c:v>
                </c:pt>
                <c:pt idx="13">
                  <c:v>13108.904</c:v>
                </c:pt>
              </c:numCache>
            </c:numRef>
          </c:val>
        </c:ser>
        <c:ser>
          <c:idx val="1"/>
          <c:order val="1"/>
          <c:tx>
            <c:strRef>
              <c:f>'Section 4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country'!$Q$7:$Q$20</c:f>
                <c:numCache>
                  <c:formatCode>General</c:formatCode>
                  <c:ptCount val="14"/>
                  <c:pt idx="0">
                    <c:v>1601.0868424</c:v>
                  </c:pt>
                  <c:pt idx="1">
                    <c:v>1458.158234</c:v>
                  </c:pt>
                  <c:pt idx="2">
                    <c:v>979.32809519999978</c:v>
                  </c:pt>
                  <c:pt idx="3">
                    <c:v>815.41131999999993</c:v>
                  </c:pt>
                  <c:pt idx="4">
                    <c:v>467.85257100000001</c:v>
                  </c:pt>
                  <c:pt idx="5">
                    <c:v>426.14834360000009</c:v>
                  </c:pt>
                  <c:pt idx="6">
                    <c:v>746.80181479999999</c:v>
                  </c:pt>
                  <c:pt idx="7">
                    <c:v>734.10258239999996</c:v>
                  </c:pt>
                  <c:pt idx="8">
                    <c:v>2671.9435691000003</c:v>
                  </c:pt>
                  <c:pt idx="9">
                    <c:v>1119.9947615999999</c:v>
                  </c:pt>
                  <c:pt idx="10">
                    <c:v>1041.6688595999999</c:v>
                  </c:pt>
                  <c:pt idx="11">
                    <c:v>827.54145439999991</c:v>
                  </c:pt>
                  <c:pt idx="12">
                    <c:v>1187.2342646999998</c:v>
                  </c:pt>
                  <c:pt idx="13">
                    <c:v>1238.5165740000002</c:v>
                  </c:pt>
                </c:numCache>
              </c:numRef>
            </c:plus>
            <c:minus>
              <c:numRef>
                <c:f>'Section 4 data country'!$Q$7:$Q$20</c:f>
                <c:numCache>
                  <c:formatCode>General</c:formatCode>
                  <c:ptCount val="14"/>
                  <c:pt idx="0">
                    <c:v>1601.0868424</c:v>
                  </c:pt>
                  <c:pt idx="1">
                    <c:v>1458.158234</c:v>
                  </c:pt>
                  <c:pt idx="2">
                    <c:v>979.32809519999978</c:v>
                  </c:pt>
                  <c:pt idx="3">
                    <c:v>815.41131999999993</c:v>
                  </c:pt>
                  <c:pt idx="4">
                    <c:v>467.85257100000001</c:v>
                  </c:pt>
                  <c:pt idx="5">
                    <c:v>426.14834360000009</c:v>
                  </c:pt>
                  <c:pt idx="6">
                    <c:v>746.80181479999999</c:v>
                  </c:pt>
                  <c:pt idx="7">
                    <c:v>734.10258239999996</c:v>
                  </c:pt>
                  <c:pt idx="8">
                    <c:v>2671.9435691000003</c:v>
                  </c:pt>
                  <c:pt idx="9">
                    <c:v>1119.9947615999999</c:v>
                  </c:pt>
                  <c:pt idx="10">
                    <c:v>1041.6688595999999</c:v>
                  </c:pt>
                  <c:pt idx="11">
                    <c:v>827.54145439999991</c:v>
                  </c:pt>
                  <c:pt idx="12">
                    <c:v>1187.2342646999998</c:v>
                  </c:pt>
                  <c:pt idx="13">
                    <c:v>1238.5165740000002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country'!$H$7:$H$20</c:f>
              <c:numCache>
                <c:formatCode>#,##0</c:formatCode>
                <c:ptCount val="14"/>
                <c:pt idx="0">
                  <c:v>17479.114000000001</c:v>
                </c:pt>
                <c:pt idx="1">
                  <c:v>15157.57</c:v>
                </c:pt>
                <c:pt idx="2">
                  <c:v>10462.906999999999</c:v>
                </c:pt>
                <c:pt idx="3">
                  <c:v>5483.6</c:v>
                </c:pt>
                <c:pt idx="4">
                  <c:v>1634.7049999999999</c:v>
                </c:pt>
                <c:pt idx="5">
                  <c:v>2050.7620000000002</c:v>
                </c:pt>
                <c:pt idx="6">
                  <c:v>6826.3419999999996</c:v>
                </c:pt>
                <c:pt idx="7">
                  <c:v>4037.9679999999998</c:v>
                </c:pt>
                <c:pt idx="8">
                  <c:v>28155.359</c:v>
                </c:pt>
                <c:pt idx="9">
                  <c:v>11965.755999999999</c:v>
                </c:pt>
                <c:pt idx="10">
                  <c:v>10385.531999999999</c:v>
                </c:pt>
                <c:pt idx="11">
                  <c:v>10318.472</c:v>
                </c:pt>
                <c:pt idx="12">
                  <c:v>13060.883</c:v>
                </c:pt>
                <c:pt idx="13">
                  <c:v>18485.322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157248"/>
        <c:axId val="31163136"/>
      </c:barChart>
      <c:catAx>
        <c:axId val="31157248"/>
        <c:scaling>
          <c:orientation val="maxMin"/>
        </c:scaling>
        <c:delete val="0"/>
        <c:axPos val="l"/>
        <c:majorTickMark val="out"/>
        <c:minorTickMark val="none"/>
        <c:tickLblPos val="nextTo"/>
        <c:crossAx val="31163136"/>
        <c:crosses val="autoZero"/>
        <c:auto val="1"/>
        <c:lblAlgn val="ctr"/>
        <c:lblOffset val="100"/>
        <c:tickLblSkip val="1"/>
        <c:noMultiLvlLbl val="0"/>
      </c:catAx>
      <c:valAx>
        <c:axId val="31163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115724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Number</a:t>
            </a:r>
            <a:r>
              <a:rPr lang="en-GB" baseline="0"/>
              <a:t> </a:t>
            </a:r>
            <a:r>
              <a:rPr lang="en-GB"/>
              <a:t>of</a:t>
            </a:r>
            <a:r>
              <a:rPr lang="en-GB" baseline="0"/>
              <a:t> all broadleaves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country'!$K$7:$K$20</c:f>
              <c:numCache>
                <c:formatCode>#,##0</c:formatCode>
                <c:ptCount val="14"/>
                <c:pt idx="0">
                  <c:v>4478.9949999999999</c:v>
                </c:pt>
                <c:pt idx="1">
                  <c:v>2587.0569999999998</c:v>
                </c:pt>
                <c:pt idx="2">
                  <c:v>4193.1610000000001</c:v>
                </c:pt>
                <c:pt idx="3">
                  <c:v>1377.17</c:v>
                </c:pt>
                <c:pt idx="4">
                  <c:v>712.92</c:v>
                </c:pt>
                <c:pt idx="5">
                  <c:v>462.83800000000002</c:v>
                </c:pt>
                <c:pt idx="6">
                  <c:v>3903.6309999999999</c:v>
                </c:pt>
                <c:pt idx="7">
                  <c:v>7589.9960000000001</c:v>
                </c:pt>
                <c:pt idx="8">
                  <c:v>2677.2739999999999</c:v>
                </c:pt>
                <c:pt idx="9">
                  <c:v>12595.567999999999</c:v>
                </c:pt>
                <c:pt idx="10">
                  <c:v>1660.3109999999999</c:v>
                </c:pt>
                <c:pt idx="11">
                  <c:v>3998.9029999999998</c:v>
                </c:pt>
                <c:pt idx="12">
                  <c:v>9078.16</c:v>
                </c:pt>
                <c:pt idx="13">
                  <c:v>2888.5230000000001</c:v>
                </c:pt>
              </c:numCache>
            </c:numRef>
          </c:val>
        </c:ser>
        <c:ser>
          <c:idx val="1"/>
          <c:order val="1"/>
          <c:tx>
            <c:strRef>
              <c:f>'Section 4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country'!$R$7:$R$20</c:f>
                <c:numCache>
                  <c:formatCode>General</c:formatCode>
                  <c:ptCount val="14"/>
                  <c:pt idx="0">
                    <c:v>2516.1868433</c:v>
                  </c:pt>
                  <c:pt idx="1">
                    <c:v>4144.7075731000004</c:v>
                  </c:pt>
                  <c:pt idx="2">
                    <c:v>4572.5675299999994</c:v>
                  </c:pt>
                  <c:pt idx="3">
                    <c:v>2939.3195884000002</c:v>
                  </c:pt>
                  <c:pt idx="4">
                    <c:v>2508.6528168</c:v>
                  </c:pt>
                  <c:pt idx="5">
                    <c:v>2002.634088</c:v>
                  </c:pt>
                  <c:pt idx="6">
                    <c:v>5921.6234583999994</c:v>
                  </c:pt>
                  <c:pt idx="7">
                    <c:v>2489.1680685000001</c:v>
                  </c:pt>
                  <c:pt idx="8">
                    <c:v>3543.8917809</c:v>
                  </c:pt>
                  <c:pt idx="9">
                    <c:v>3475.6880728000001</c:v>
                  </c:pt>
                  <c:pt idx="10">
                    <c:v>3243.4473791999999</c:v>
                  </c:pt>
                  <c:pt idx="11">
                    <c:v>3492.3765967999998</c:v>
                  </c:pt>
                  <c:pt idx="12">
                    <c:v>4386.4970885999992</c:v>
                  </c:pt>
                  <c:pt idx="13">
                    <c:v>2989.1830716000004</c:v>
                  </c:pt>
                </c:numCache>
              </c:numRef>
            </c:plus>
            <c:minus>
              <c:numRef>
                <c:f>'Section 4 data country'!$R$7:$R$20</c:f>
                <c:numCache>
                  <c:formatCode>General</c:formatCode>
                  <c:ptCount val="14"/>
                  <c:pt idx="0">
                    <c:v>2516.1868433</c:v>
                  </c:pt>
                  <c:pt idx="1">
                    <c:v>4144.7075731000004</c:v>
                  </c:pt>
                  <c:pt idx="2">
                    <c:v>4572.5675299999994</c:v>
                  </c:pt>
                  <c:pt idx="3">
                    <c:v>2939.3195884000002</c:v>
                  </c:pt>
                  <c:pt idx="4">
                    <c:v>2508.6528168</c:v>
                  </c:pt>
                  <c:pt idx="5">
                    <c:v>2002.634088</c:v>
                  </c:pt>
                  <c:pt idx="6">
                    <c:v>5921.6234583999994</c:v>
                  </c:pt>
                  <c:pt idx="7">
                    <c:v>2489.1680685000001</c:v>
                  </c:pt>
                  <c:pt idx="8">
                    <c:v>3543.8917809</c:v>
                  </c:pt>
                  <c:pt idx="9">
                    <c:v>3475.6880728000001</c:v>
                  </c:pt>
                  <c:pt idx="10">
                    <c:v>3243.4473791999999</c:v>
                  </c:pt>
                  <c:pt idx="11">
                    <c:v>3492.3765967999998</c:v>
                  </c:pt>
                  <c:pt idx="12">
                    <c:v>4386.4970885999992</c:v>
                  </c:pt>
                  <c:pt idx="13">
                    <c:v>2989.1830716000004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country'!$L$7:$L$20</c:f>
              <c:numCache>
                <c:formatCode>#,##0</c:formatCode>
                <c:ptCount val="14"/>
                <c:pt idx="0">
                  <c:v>45012.286999999997</c:v>
                </c:pt>
                <c:pt idx="1">
                  <c:v>98449.111000000004</c:v>
                </c:pt>
                <c:pt idx="2">
                  <c:v>95460.7</c:v>
                </c:pt>
                <c:pt idx="3">
                  <c:v>40045.226000000002</c:v>
                </c:pt>
                <c:pt idx="4">
                  <c:v>20975.358</c:v>
                </c:pt>
                <c:pt idx="5">
                  <c:v>27508.71</c:v>
                </c:pt>
                <c:pt idx="6">
                  <c:v>121344.743</c:v>
                </c:pt>
                <c:pt idx="7">
                  <c:v>38591.752999999997</c:v>
                </c:pt>
                <c:pt idx="8">
                  <c:v>47697.063000000002</c:v>
                </c:pt>
                <c:pt idx="9">
                  <c:v>96279.448000000004</c:v>
                </c:pt>
                <c:pt idx="10">
                  <c:v>81289.407999999996</c:v>
                </c:pt>
                <c:pt idx="11">
                  <c:v>86019.127999999997</c:v>
                </c:pt>
                <c:pt idx="12">
                  <c:v>109116.84299999999</c:v>
                </c:pt>
                <c:pt idx="13">
                  <c:v>75484.421000000002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254400"/>
        <c:axId val="31255936"/>
      </c:barChart>
      <c:catAx>
        <c:axId val="31254400"/>
        <c:scaling>
          <c:orientation val="maxMin"/>
        </c:scaling>
        <c:delete val="0"/>
        <c:axPos val="l"/>
        <c:majorTickMark val="out"/>
        <c:minorTickMark val="none"/>
        <c:tickLblPos val="nextTo"/>
        <c:crossAx val="31255936"/>
        <c:crosses val="autoZero"/>
        <c:auto val="1"/>
        <c:lblAlgn val="ctr"/>
        <c:lblOffset val="100"/>
        <c:tickLblSkip val="1"/>
        <c:noMultiLvlLbl val="0"/>
      </c:catAx>
      <c:valAx>
        <c:axId val="31255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Number of trees (thousands)</a:t>
                </a:r>
                <a:endParaRPr lang="en-US" sz="1000">
                  <a:effectLst/>
                  <a:latin typeface="+mn-lt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12544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country'!$K$7:$K$20</c:f>
              <c:numCache>
                <c:formatCode>#,##0</c:formatCode>
                <c:ptCount val="14"/>
                <c:pt idx="0">
                  <c:v>4478.9949999999999</c:v>
                </c:pt>
                <c:pt idx="1">
                  <c:v>2587.0569999999998</c:v>
                </c:pt>
                <c:pt idx="2">
                  <c:v>4193.1610000000001</c:v>
                </c:pt>
                <c:pt idx="3">
                  <c:v>1377.17</c:v>
                </c:pt>
                <c:pt idx="4">
                  <c:v>712.92</c:v>
                </c:pt>
                <c:pt idx="5">
                  <c:v>462.83800000000002</c:v>
                </c:pt>
                <c:pt idx="6">
                  <c:v>3903.6309999999999</c:v>
                </c:pt>
                <c:pt idx="7">
                  <c:v>7589.9960000000001</c:v>
                </c:pt>
                <c:pt idx="8">
                  <c:v>2677.2739999999999</c:v>
                </c:pt>
                <c:pt idx="9">
                  <c:v>12595.567999999999</c:v>
                </c:pt>
                <c:pt idx="10">
                  <c:v>1660.3109999999999</c:v>
                </c:pt>
                <c:pt idx="11">
                  <c:v>3998.9029999999998</c:v>
                </c:pt>
                <c:pt idx="12">
                  <c:v>9078.16</c:v>
                </c:pt>
                <c:pt idx="13">
                  <c:v>2888.5230000000001</c:v>
                </c:pt>
              </c:numCache>
            </c:numRef>
          </c:val>
        </c:ser>
        <c:ser>
          <c:idx val="1"/>
          <c:order val="1"/>
          <c:tx>
            <c:strRef>
              <c:f>'Section 4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country'!$R$7:$R$20</c:f>
                <c:numCache>
                  <c:formatCode>General</c:formatCode>
                  <c:ptCount val="14"/>
                  <c:pt idx="0">
                    <c:v>2516.1868433</c:v>
                  </c:pt>
                  <c:pt idx="1">
                    <c:v>4144.7075731000004</c:v>
                  </c:pt>
                  <c:pt idx="2">
                    <c:v>4572.5675299999994</c:v>
                  </c:pt>
                  <c:pt idx="3">
                    <c:v>2939.3195884000002</c:v>
                  </c:pt>
                  <c:pt idx="4">
                    <c:v>2508.6528168</c:v>
                  </c:pt>
                  <c:pt idx="5">
                    <c:v>2002.634088</c:v>
                  </c:pt>
                  <c:pt idx="6">
                    <c:v>5921.6234583999994</c:v>
                  </c:pt>
                  <c:pt idx="7">
                    <c:v>2489.1680685000001</c:v>
                  </c:pt>
                  <c:pt idx="8">
                    <c:v>3543.8917809</c:v>
                  </c:pt>
                  <c:pt idx="9">
                    <c:v>3475.6880728000001</c:v>
                  </c:pt>
                  <c:pt idx="10">
                    <c:v>3243.4473791999999</c:v>
                  </c:pt>
                  <c:pt idx="11">
                    <c:v>3492.3765967999998</c:v>
                  </c:pt>
                  <c:pt idx="12">
                    <c:v>4386.4970885999992</c:v>
                  </c:pt>
                  <c:pt idx="13">
                    <c:v>2989.1830716000004</c:v>
                  </c:pt>
                </c:numCache>
              </c:numRef>
            </c:plus>
            <c:minus>
              <c:numRef>
                <c:f>'Section 4 data country'!$R$7:$R$20</c:f>
                <c:numCache>
                  <c:formatCode>General</c:formatCode>
                  <c:ptCount val="14"/>
                  <c:pt idx="0">
                    <c:v>2516.1868433</c:v>
                  </c:pt>
                  <c:pt idx="1">
                    <c:v>4144.7075731000004</c:v>
                  </c:pt>
                  <c:pt idx="2">
                    <c:v>4572.5675299999994</c:v>
                  </c:pt>
                  <c:pt idx="3">
                    <c:v>2939.3195884000002</c:v>
                  </c:pt>
                  <c:pt idx="4">
                    <c:v>2508.6528168</c:v>
                  </c:pt>
                  <c:pt idx="5">
                    <c:v>2002.634088</c:v>
                  </c:pt>
                  <c:pt idx="6">
                    <c:v>5921.6234583999994</c:v>
                  </c:pt>
                  <c:pt idx="7">
                    <c:v>2489.1680685000001</c:v>
                  </c:pt>
                  <c:pt idx="8">
                    <c:v>3543.8917809</c:v>
                  </c:pt>
                  <c:pt idx="9">
                    <c:v>3475.6880728000001</c:v>
                  </c:pt>
                  <c:pt idx="10">
                    <c:v>3243.4473791999999</c:v>
                  </c:pt>
                  <c:pt idx="11">
                    <c:v>3492.3765967999998</c:v>
                  </c:pt>
                  <c:pt idx="12">
                    <c:v>4386.4970885999992</c:v>
                  </c:pt>
                  <c:pt idx="13">
                    <c:v>2989.1830716000004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country'!$L$7:$L$20</c:f>
              <c:numCache>
                <c:formatCode>#,##0</c:formatCode>
                <c:ptCount val="14"/>
                <c:pt idx="0">
                  <c:v>45012.286999999997</c:v>
                </c:pt>
                <c:pt idx="1">
                  <c:v>98449.111000000004</c:v>
                </c:pt>
                <c:pt idx="2">
                  <c:v>95460.7</c:v>
                </c:pt>
                <c:pt idx="3">
                  <c:v>40045.226000000002</c:v>
                </c:pt>
                <c:pt idx="4">
                  <c:v>20975.358</c:v>
                </c:pt>
                <c:pt idx="5">
                  <c:v>27508.71</c:v>
                </c:pt>
                <c:pt idx="6">
                  <c:v>121344.743</c:v>
                </c:pt>
                <c:pt idx="7">
                  <c:v>38591.752999999997</c:v>
                </c:pt>
                <c:pt idx="8">
                  <c:v>47697.063000000002</c:v>
                </c:pt>
                <c:pt idx="9">
                  <c:v>96279.448000000004</c:v>
                </c:pt>
                <c:pt idx="10">
                  <c:v>81289.407999999996</c:v>
                </c:pt>
                <c:pt idx="11">
                  <c:v>86019.127999999997</c:v>
                </c:pt>
                <c:pt idx="12">
                  <c:v>109116.84299999999</c:v>
                </c:pt>
                <c:pt idx="13">
                  <c:v>75484.421000000002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307264"/>
        <c:axId val="31308800"/>
      </c:barChart>
      <c:catAx>
        <c:axId val="31307264"/>
        <c:scaling>
          <c:orientation val="maxMin"/>
        </c:scaling>
        <c:delete val="0"/>
        <c:axPos val="l"/>
        <c:majorTickMark val="out"/>
        <c:minorTickMark val="none"/>
        <c:tickLblPos val="nextTo"/>
        <c:crossAx val="31308800"/>
        <c:crosses val="autoZero"/>
        <c:auto val="1"/>
        <c:lblAlgn val="ctr"/>
        <c:lblOffset val="100"/>
        <c:tickLblSkip val="1"/>
        <c:noMultiLvlLbl val="0"/>
      </c:catAx>
      <c:valAx>
        <c:axId val="31308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13072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Number</a:t>
            </a:r>
            <a:r>
              <a:rPr lang="en-GB" baseline="0"/>
              <a:t> </a:t>
            </a:r>
            <a:r>
              <a:rPr lang="en-GB"/>
              <a:t>of</a:t>
            </a:r>
            <a:r>
              <a:rPr lang="en-GB" baseline="0"/>
              <a:t> all species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country'!$C$7:$C$20</c:f>
              <c:numCache>
                <c:formatCode>#,##0</c:formatCode>
                <c:ptCount val="14"/>
                <c:pt idx="0">
                  <c:v>26134.491999999998</c:v>
                </c:pt>
                <c:pt idx="1">
                  <c:v>10544.929</c:v>
                </c:pt>
                <c:pt idx="2">
                  <c:v>23072.591</c:v>
                </c:pt>
                <c:pt idx="3">
                  <c:v>5171.6210000000001</c:v>
                </c:pt>
                <c:pt idx="4">
                  <c:v>1222.0129999999999</c:v>
                </c:pt>
                <c:pt idx="5">
                  <c:v>615.24</c:v>
                </c:pt>
                <c:pt idx="6">
                  <c:v>6501.2479999999996</c:v>
                </c:pt>
                <c:pt idx="7">
                  <c:v>10051.968999999999</c:v>
                </c:pt>
                <c:pt idx="8">
                  <c:v>60699.254999999997</c:v>
                </c:pt>
                <c:pt idx="9">
                  <c:v>18891.375</c:v>
                </c:pt>
                <c:pt idx="10">
                  <c:v>2485.41</c:v>
                </c:pt>
                <c:pt idx="11">
                  <c:v>8917.5840000000007</c:v>
                </c:pt>
                <c:pt idx="12">
                  <c:v>17600.126</c:v>
                </c:pt>
                <c:pt idx="13">
                  <c:v>15997.425999999999</c:v>
                </c:pt>
              </c:numCache>
            </c:numRef>
          </c:val>
        </c:ser>
        <c:ser>
          <c:idx val="1"/>
          <c:order val="1"/>
          <c:tx>
            <c:strRef>
              <c:f>'Section 4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country'!$P$7:$P$20</c:f>
                <c:numCache>
                  <c:formatCode>General</c:formatCode>
                  <c:ptCount val="14"/>
                  <c:pt idx="0">
                    <c:v>2822.2381241999997</c:v>
                  </c:pt>
                  <c:pt idx="1">
                    <c:v>4305.8920711999999</c:v>
                  </c:pt>
                  <c:pt idx="2">
                    <c:v>4567.0448657999996</c:v>
                  </c:pt>
                  <c:pt idx="3">
                    <c:v>2927.5035118000001</c:v>
                  </c:pt>
                  <c:pt idx="4">
                    <c:v>2435.1037850999996</c:v>
                  </c:pt>
                  <c:pt idx="5">
                    <c:v>1986.3965856000002</c:v>
                  </c:pt>
                  <c:pt idx="6">
                    <c:v>5935.2100565999999</c:v>
                  </c:pt>
                  <c:pt idx="7">
                    <c:v>2496.7783034999998</c:v>
                  </c:pt>
                  <c:pt idx="8">
                    <c:v>4315.0736207999998</c:v>
                  </c:pt>
                  <c:pt idx="9">
                    <c:v>3542.7208267999999</c:v>
                  </c:pt>
                  <c:pt idx="10">
                    <c:v>3285.7816379999999</c:v>
                  </c:pt>
                  <c:pt idx="11">
                    <c:v>3525.0969749999999</c:v>
                  </c:pt>
                  <c:pt idx="12">
                    <c:v>4405.5811499000001</c:v>
                  </c:pt>
                  <c:pt idx="13">
                    <c:v>3084.7619359999994</c:v>
                  </c:pt>
                </c:numCache>
              </c:numRef>
            </c:plus>
            <c:minus>
              <c:numRef>
                <c:f>'Section 4 data country'!$P$7:$P$20</c:f>
                <c:numCache>
                  <c:formatCode>General</c:formatCode>
                  <c:ptCount val="14"/>
                  <c:pt idx="0">
                    <c:v>2822.2381241999997</c:v>
                  </c:pt>
                  <c:pt idx="1">
                    <c:v>4305.8920711999999</c:v>
                  </c:pt>
                  <c:pt idx="2">
                    <c:v>4567.0448657999996</c:v>
                  </c:pt>
                  <c:pt idx="3">
                    <c:v>2927.5035118000001</c:v>
                  </c:pt>
                  <c:pt idx="4">
                    <c:v>2435.1037850999996</c:v>
                  </c:pt>
                  <c:pt idx="5">
                    <c:v>1986.3965856000002</c:v>
                  </c:pt>
                  <c:pt idx="6">
                    <c:v>5935.2100565999999</c:v>
                  </c:pt>
                  <c:pt idx="7">
                    <c:v>2496.7783034999998</c:v>
                  </c:pt>
                  <c:pt idx="8">
                    <c:v>4315.0736207999998</c:v>
                  </c:pt>
                  <c:pt idx="9">
                    <c:v>3542.7208267999999</c:v>
                  </c:pt>
                  <c:pt idx="10">
                    <c:v>3285.7816379999999</c:v>
                  </c:pt>
                  <c:pt idx="11">
                    <c:v>3525.0969749999999</c:v>
                  </c:pt>
                  <c:pt idx="12">
                    <c:v>4405.5811499000001</c:v>
                  </c:pt>
                  <c:pt idx="13">
                    <c:v>3084.7619359999994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country'!$D$7:$D$20</c:f>
              <c:numCache>
                <c:formatCode>#,##0</c:formatCode>
                <c:ptCount val="14"/>
                <c:pt idx="0">
                  <c:v>62577.341999999997</c:v>
                </c:pt>
                <c:pt idx="1">
                  <c:v>113611.928</c:v>
                </c:pt>
                <c:pt idx="2">
                  <c:v>105963.91800000001</c:v>
                </c:pt>
                <c:pt idx="3">
                  <c:v>45528.826000000001</c:v>
                </c:pt>
                <c:pt idx="4">
                  <c:v>22610.062999999998</c:v>
                </c:pt>
                <c:pt idx="5">
                  <c:v>29559.473000000002</c:v>
                </c:pt>
                <c:pt idx="6">
                  <c:v>128190.28200000001</c:v>
                </c:pt>
                <c:pt idx="7">
                  <c:v>42679.970999999998</c:v>
                </c:pt>
                <c:pt idx="8">
                  <c:v>75969.606</c:v>
                </c:pt>
                <c:pt idx="9">
                  <c:v>108672.41800000001</c:v>
                </c:pt>
                <c:pt idx="10">
                  <c:v>91781.61</c:v>
                </c:pt>
                <c:pt idx="11">
                  <c:v>96314.125</c:v>
                </c:pt>
                <c:pt idx="12">
                  <c:v>122038.25900000001</c:v>
                </c:pt>
                <c:pt idx="13">
                  <c:v>94047.62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073024"/>
        <c:axId val="31074560"/>
      </c:barChart>
      <c:catAx>
        <c:axId val="31073024"/>
        <c:scaling>
          <c:orientation val="maxMin"/>
        </c:scaling>
        <c:delete val="0"/>
        <c:axPos val="l"/>
        <c:majorTickMark val="out"/>
        <c:minorTickMark val="none"/>
        <c:tickLblPos val="nextTo"/>
        <c:crossAx val="31074560"/>
        <c:crosses val="autoZero"/>
        <c:auto val="1"/>
        <c:lblAlgn val="ctr"/>
        <c:lblOffset val="100"/>
        <c:tickLblSkip val="1"/>
        <c:noMultiLvlLbl val="0"/>
      </c:catAx>
      <c:valAx>
        <c:axId val="31074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Number of trees (thousands)</a:t>
                </a:r>
                <a:endParaRPr lang="en-US">
                  <a:effectLst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10730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country'!$C$7:$C$20</c:f>
              <c:numCache>
                <c:formatCode>#,##0</c:formatCode>
                <c:ptCount val="14"/>
                <c:pt idx="0">
                  <c:v>26134.491999999998</c:v>
                </c:pt>
                <c:pt idx="1">
                  <c:v>10544.929</c:v>
                </c:pt>
                <c:pt idx="2">
                  <c:v>23072.591</c:v>
                </c:pt>
                <c:pt idx="3">
                  <c:v>5171.6210000000001</c:v>
                </c:pt>
                <c:pt idx="4">
                  <c:v>1222.0129999999999</c:v>
                </c:pt>
                <c:pt idx="5">
                  <c:v>615.24</c:v>
                </c:pt>
                <c:pt idx="6">
                  <c:v>6501.2479999999996</c:v>
                </c:pt>
                <c:pt idx="7">
                  <c:v>10051.968999999999</c:v>
                </c:pt>
                <c:pt idx="8">
                  <c:v>60699.254999999997</c:v>
                </c:pt>
                <c:pt idx="9">
                  <c:v>18891.375</c:v>
                </c:pt>
                <c:pt idx="10">
                  <c:v>2485.41</c:v>
                </c:pt>
                <c:pt idx="11">
                  <c:v>8917.5840000000007</c:v>
                </c:pt>
                <c:pt idx="12">
                  <c:v>17600.126</c:v>
                </c:pt>
                <c:pt idx="13">
                  <c:v>15997.425999999999</c:v>
                </c:pt>
              </c:numCache>
            </c:numRef>
          </c:val>
        </c:ser>
        <c:ser>
          <c:idx val="1"/>
          <c:order val="1"/>
          <c:tx>
            <c:strRef>
              <c:f>'Section 4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 country'!$P$7:$P$20</c:f>
                <c:numCache>
                  <c:formatCode>General</c:formatCode>
                  <c:ptCount val="14"/>
                  <c:pt idx="0">
                    <c:v>2822.2381241999997</c:v>
                  </c:pt>
                  <c:pt idx="1">
                    <c:v>4305.8920711999999</c:v>
                  </c:pt>
                  <c:pt idx="2">
                    <c:v>4567.0448657999996</c:v>
                  </c:pt>
                  <c:pt idx="3">
                    <c:v>2927.5035118000001</c:v>
                  </c:pt>
                  <c:pt idx="4">
                    <c:v>2435.1037850999996</c:v>
                  </c:pt>
                  <c:pt idx="5">
                    <c:v>1986.3965856000002</c:v>
                  </c:pt>
                  <c:pt idx="6">
                    <c:v>5935.2100565999999</c:v>
                  </c:pt>
                  <c:pt idx="7">
                    <c:v>2496.7783034999998</c:v>
                  </c:pt>
                  <c:pt idx="8">
                    <c:v>4315.0736207999998</c:v>
                  </c:pt>
                  <c:pt idx="9">
                    <c:v>3542.7208267999999</c:v>
                  </c:pt>
                  <c:pt idx="10">
                    <c:v>3285.7816379999999</c:v>
                  </c:pt>
                  <c:pt idx="11">
                    <c:v>3525.0969749999999</c:v>
                  </c:pt>
                  <c:pt idx="12">
                    <c:v>4405.5811499000001</c:v>
                  </c:pt>
                  <c:pt idx="13">
                    <c:v>3084.7619359999994</c:v>
                  </c:pt>
                </c:numCache>
              </c:numRef>
            </c:plus>
            <c:minus>
              <c:numRef>
                <c:f>'Section 4 data country'!$P$7:$P$20</c:f>
                <c:numCache>
                  <c:formatCode>General</c:formatCode>
                  <c:ptCount val="14"/>
                  <c:pt idx="0">
                    <c:v>2822.2381241999997</c:v>
                  </c:pt>
                  <c:pt idx="1">
                    <c:v>4305.8920711999999</c:v>
                  </c:pt>
                  <c:pt idx="2">
                    <c:v>4567.0448657999996</c:v>
                  </c:pt>
                  <c:pt idx="3">
                    <c:v>2927.5035118000001</c:v>
                  </c:pt>
                  <c:pt idx="4">
                    <c:v>2435.1037850999996</c:v>
                  </c:pt>
                  <c:pt idx="5">
                    <c:v>1986.3965856000002</c:v>
                  </c:pt>
                  <c:pt idx="6">
                    <c:v>5935.2100565999999</c:v>
                  </c:pt>
                  <c:pt idx="7">
                    <c:v>2496.7783034999998</c:v>
                  </c:pt>
                  <c:pt idx="8">
                    <c:v>4315.0736207999998</c:v>
                  </c:pt>
                  <c:pt idx="9">
                    <c:v>3542.7208267999999</c:v>
                  </c:pt>
                  <c:pt idx="10">
                    <c:v>3285.7816379999999</c:v>
                  </c:pt>
                  <c:pt idx="11">
                    <c:v>3525.0969749999999</c:v>
                  </c:pt>
                  <c:pt idx="12">
                    <c:v>4405.5811499000001</c:v>
                  </c:pt>
                  <c:pt idx="13">
                    <c:v>3084.7619359999994</c:v>
                  </c:pt>
                </c:numCache>
              </c:numRef>
            </c:minus>
          </c:errBars>
          <c:cat>
            <c:strRef>
              <c:f>'Section 4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4 data country'!$D$7:$D$20</c:f>
              <c:numCache>
                <c:formatCode>#,##0</c:formatCode>
                <c:ptCount val="14"/>
                <c:pt idx="0">
                  <c:v>62577.341999999997</c:v>
                </c:pt>
                <c:pt idx="1">
                  <c:v>113611.928</c:v>
                </c:pt>
                <c:pt idx="2">
                  <c:v>105963.91800000001</c:v>
                </c:pt>
                <c:pt idx="3">
                  <c:v>45528.826000000001</c:v>
                </c:pt>
                <c:pt idx="4">
                  <c:v>22610.062999999998</c:v>
                </c:pt>
                <c:pt idx="5">
                  <c:v>29559.473000000002</c:v>
                </c:pt>
                <c:pt idx="6">
                  <c:v>128190.28200000001</c:v>
                </c:pt>
                <c:pt idx="7">
                  <c:v>42679.970999999998</c:v>
                </c:pt>
                <c:pt idx="8">
                  <c:v>75969.606</c:v>
                </c:pt>
                <c:pt idx="9">
                  <c:v>108672.41800000001</c:v>
                </c:pt>
                <c:pt idx="10">
                  <c:v>91781.61</c:v>
                </c:pt>
                <c:pt idx="11">
                  <c:v>96314.125</c:v>
                </c:pt>
                <c:pt idx="12">
                  <c:v>122038.25900000001</c:v>
                </c:pt>
                <c:pt idx="13">
                  <c:v>94047.62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95104"/>
        <c:axId val="30496640"/>
      </c:barChart>
      <c:catAx>
        <c:axId val="30495104"/>
        <c:scaling>
          <c:orientation val="maxMin"/>
        </c:scaling>
        <c:delete val="0"/>
        <c:axPos val="l"/>
        <c:majorTickMark val="out"/>
        <c:minorTickMark val="none"/>
        <c:tickLblPos val="nextTo"/>
        <c:crossAx val="30496640"/>
        <c:crosses val="autoZero"/>
        <c:auto val="1"/>
        <c:lblAlgn val="ctr"/>
        <c:lblOffset val="100"/>
        <c:tickLblSkip val="1"/>
        <c:noMultiLvlLbl val="0"/>
      </c:catAx>
      <c:valAx>
        <c:axId val="30496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04951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data'!$D$31:$D$53</c:f>
              <c:numCache>
                <c:formatCode>#,##0</c:formatCode>
                <c:ptCount val="23"/>
                <c:pt idx="0">
                  <c:v>1570.7909999999999</c:v>
                </c:pt>
                <c:pt idx="1">
                  <c:v>32819.542000000001</c:v>
                </c:pt>
                <c:pt idx="2">
                  <c:v>66164.327000000005</c:v>
                </c:pt>
                <c:pt idx="3">
                  <c:v>39573.519</c:v>
                </c:pt>
                <c:pt idx="4">
                  <c:v>7275.45</c:v>
                </c:pt>
                <c:pt idx="5">
                  <c:v>1522.104</c:v>
                </c:pt>
                <c:pt idx="6">
                  <c:v>394.30900000000003</c:v>
                </c:pt>
                <c:pt idx="8">
                  <c:v>164.5</c:v>
                </c:pt>
                <c:pt idx="9">
                  <c:v>7362.616</c:v>
                </c:pt>
                <c:pt idx="10">
                  <c:v>15450.704</c:v>
                </c:pt>
                <c:pt idx="11">
                  <c:v>13815.743999999999</c:v>
                </c:pt>
                <c:pt idx="12">
                  <c:v>9377.83</c:v>
                </c:pt>
                <c:pt idx="13">
                  <c:v>2774.6419999999998</c:v>
                </c:pt>
                <c:pt idx="14">
                  <c:v>8597.0780000000013</c:v>
                </c:pt>
                <c:pt idx="16">
                  <c:v>1735.2929999999999</c:v>
                </c:pt>
                <c:pt idx="17">
                  <c:v>40182.158000000003</c:v>
                </c:pt>
                <c:pt idx="18">
                  <c:v>81615.036999999997</c:v>
                </c:pt>
                <c:pt idx="19">
                  <c:v>53389.263000000006</c:v>
                </c:pt>
                <c:pt idx="20">
                  <c:v>16653.277999999998</c:v>
                </c:pt>
                <c:pt idx="21">
                  <c:v>4296.7449999999999</c:v>
                </c:pt>
                <c:pt idx="22">
                  <c:v>8991.3860000000004</c:v>
                </c:pt>
              </c:numCache>
            </c:numRef>
          </c:val>
        </c:ser>
        <c:ser>
          <c:idx val="1"/>
          <c:order val="1"/>
          <c:tx>
            <c:strRef>
              <c:f>'Section 4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data'!$G$31:$G$53</c:f>
                <c:numCache>
                  <c:formatCode>General</c:formatCode>
                  <c:ptCount val="23"/>
                  <c:pt idx="0">
                    <c:v>230.38483071683515</c:v>
                  </c:pt>
                  <c:pt idx="1">
                    <c:v>2419.4255654835461</c:v>
                  </c:pt>
                  <c:pt idx="2">
                    <c:v>4171.8063689649143</c:v>
                  </c:pt>
                  <c:pt idx="3">
                    <c:v>2300.5616839301638</c:v>
                  </c:pt>
                  <c:pt idx="4">
                    <c:v>807.58301027712514</c:v>
                  </c:pt>
                  <c:pt idx="5">
                    <c:v>296.04233671211477</c:v>
                  </c:pt>
                  <c:pt idx="6">
                    <c:v>157.18093642658101</c:v>
                  </c:pt>
                  <c:pt idx="8">
                    <c:v>1471.3119646056375</c:v>
                  </c:pt>
                  <c:pt idx="9">
                    <c:v>8333.5741267848298</c:v>
                  </c:pt>
                  <c:pt idx="10">
                    <c:v>10828.316466653685</c:v>
                  </c:pt>
                  <c:pt idx="11">
                    <c:v>4996.860647351019</c:v>
                  </c:pt>
                  <c:pt idx="12">
                    <c:v>3990.9498148467123</c:v>
                  </c:pt>
                  <c:pt idx="13">
                    <c:v>2737.0439520970899</c:v>
                  </c:pt>
                  <c:pt idx="14">
                    <c:v>1942.5970134066645</c:v>
                  </c:pt>
                  <c:pt idx="16">
                    <c:v>1499.7177436434454</c:v>
                  </c:pt>
                  <c:pt idx="17">
                    <c:v>8660.2154602212831</c:v>
                  </c:pt>
                  <c:pt idx="18">
                    <c:v>11803.879731557126</c:v>
                  </c:pt>
                  <c:pt idx="19">
                    <c:v>5539.736858006524</c:v>
                  </c:pt>
                  <c:pt idx="20">
                    <c:v>4078.4473912422386</c:v>
                  </c:pt>
                  <c:pt idx="21">
                    <c:v>2759.4315456405275</c:v>
                  </c:pt>
                  <c:pt idx="22">
                    <c:v>1955.1956649979957</c:v>
                  </c:pt>
                </c:numCache>
              </c:numRef>
            </c:plus>
            <c:minus>
              <c:numRef>
                <c:f>'Section 4 data'!$G$31:$G$53</c:f>
                <c:numCache>
                  <c:formatCode>General</c:formatCode>
                  <c:ptCount val="23"/>
                  <c:pt idx="0">
                    <c:v>230.38483071683515</c:v>
                  </c:pt>
                  <c:pt idx="1">
                    <c:v>2419.4255654835461</c:v>
                  </c:pt>
                  <c:pt idx="2">
                    <c:v>4171.8063689649143</c:v>
                  </c:pt>
                  <c:pt idx="3">
                    <c:v>2300.5616839301638</c:v>
                  </c:pt>
                  <c:pt idx="4">
                    <c:v>807.58301027712514</c:v>
                  </c:pt>
                  <c:pt idx="5">
                    <c:v>296.04233671211477</c:v>
                  </c:pt>
                  <c:pt idx="6">
                    <c:v>157.18093642658101</c:v>
                  </c:pt>
                  <c:pt idx="8">
                    <c:v>1471.3119646056375</c:v>
                  </c:pt>
                  <c:pt idx="9">
                    <c:v>8333.5741267848298</c:v>
                  </c:pt>
                  <c:pt idx="10">
                    <c:v>10828.316466653685</c:v>
                  </c:pt>
                  <c:pt idx="11">
                    <c:v>4996.860647351019</c:v>
                  </c:pt>
                  <c:pt idx="12">
                    <c:v>3990.9498148467123</c:v>
                  </c:pt>
                  <c:pt idx="13">
                    <c:v>2737.0439520970899</c:v>
                  </c:pt>
                  <c:pt idx="14">
                    <c:v>1942.5970134066645</c:v>
                  </c:pt>
                  <c:pt idx="16">
                    <c:v>1499.7177436434454</c:v>
                  </c:pt>
                  <c:pt idx="17">
                    <c:v>8660.2154602212831</c:v>
                  </c:pt>
                  <c:pt idx="18">
                    <c:v>11803.879731557126</c:v>
                  </c:pt>
                  <c:pt idx="19">
                    <c:v>5539.736858006524</c:v>
                  </c:pt>
                  <c:pt idx="20">
                    <c:v>4078.4473912422386</c:v>
                  </c:pt>
                  <c:pt idx="21">
                    <c:v>2759.4315456405275</c:v>
                  </c:pt>
                  <c:pt idx="22">
                    <c:v>1955.1956649979957</c:v>
                  </c:pt>
                </c:numCache>
              </c:numRef>
            </c:minus>
          </c:errBars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data'!$E$31:$E$53</c:f>
              <c:numCache>
                <c:formatCode>#,##0</c:formatCode>
                <c:ptCount val="23"/>
                <c:pt idx="0">
                  <c:v>464.90600000000001</c:v>
                </c:pt>
                <c:pt idx="1">
                  <c:v>18963.661</c:v>
                </c:pt>
                <c:pt idx="2">
                  <c:v>72524.138000000006</c:v>
                </c:pt>
                <c:pt idx="3">
                  <c:v>53189.896999999997</c:v>
                </c:pt>
                <c:pt idx="4">
                  <c:v>8419.8790000000008</c:v>
                </c:pt>
                <c:pt idx="5">
                  <c:v>1184.269</c:v>
                </c:pt>
                <c:pt idx="6">
                  <c:v>757.54</c:v>
                </c:pt>
                <c:pt idx="8">
                  <c:v>15852.424999999999</c:v>
                </c:pt>
                <c:pt idx="9">
                  <c:v>254704.72899999999</c:v>
                </c:pt>
                <c:pt idx="10">
                  <c:v>430062.75</c:v>
                </c:pt>
                <c:pt idx="11">
                  <c:v>136646.72399999999</c:v>
                </c:pt>
                <c:pt idx="12">
                  <c:v>79390.209000000003</c:v>
                </c:pt>
                <c:pt idx="13">
                  <c:v>42247.735000000001</c:v>
                </c:pt>
                <c:pt idx="14">
                  <c:v>24369.628000000001</c:v>
                </c:pt>
                <c:pt idx="16">
                  <c:v>16334.898999999999</c:v>
                </c:pt>
                <c:pt idx="17">
                  <c:v>273824.38699999999</c:v>
                </c:pt>
                <c:pt idx="18">
                  <c:v>503337.07199999999</c:v>
                </c:pt>
                <c:pt idx="19">
                  <c:v>189506.24900000001</c:v>
                </c:pt>
                <c:pt idx="20">
                  <c:v>87922.754000000001</c:v>
                </c:pt>
                <c:pt idx="21">
                  <c:v>43488.453999999998</c:v>
                </c:pt>
                <c:pt idx="22">
                  <c:v>25131.621999999999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077824"/>
        <c:axId val="130079360"/>
      </c:barChart>
      <c:catAx>
        <c:axId val="1300778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079360"/>
        <c:crosses val="autoZero"/>
        <c:auto val="1"/>
        <c:lblAlgn val="ctr"/>
        <c:lblOffset val="100"/>
        <c:noMultiLvlLbl val="0"/>
      </c:catAx>
      <c:valAx>
        <c:axId val="13007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00778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data'!$D$31:$D$53</c:f>
              <c:numCache>
                <c:formatCode>#,##0</c:formatCode>
                <c:ptCount val="23"/>
                <c:pt idx="0">
                  <c:v>1570.7909999999999</c:v>
                </c:pt>
                <c:pt idx="1">
                  <c:v>32819.542000000001</c:v>
                </c:pt>
                <c:pt idx="2">
                  <c:v>66164.327000000005</c:v>
                </c:pt>
                <c:pt idx="3">
                  <c:v>39573.519</c:v>
                </c:pt>
                <c:pt idx="4">
                  <c:v>7275.45</c:v>
                </c:pt>
                <c:pt idx="5">
                  <c:v>1522.104</c:v>
                </c:pt>
                <c:pt idx="6">
                  <c:v>394.30900000000003</c:v>
                </c:pt>
                <c:pt idx="8">
                  <c:v>164.5</c:v>
                </c:pt>
                <c:pt idx="9">
                  <c:v>7362.616</c:v>
                </c:pt>
                <c:pt idx="10">
                  <c:v>15450.704</c:v>
                </c:pt>
                <c:pt idx="11">
                  <c:v>13815.743999999999</c:v>
                </c:pt>
                <c:pt idx="12">
                  <c:v>9377.83</c:v>
                </c:pt>
                <c:pt idx="13">
                  <c:v>2774.6419999999998</c:v>
                </c:pt>
                <c:pt idx="14">
                  <c:v>8597.0780000000013</c:v>
                </c:pt>
                <c:pt idx="16">
                  <c:v>1735.2929999999999</c:v>
                </c:pt>
                <c:pt idx="17">
                  <c:v>40182.158000000003</c:v>
                </c:pt>
                <c:pt idx="18">
                  <c:v>81615.036999999997</c:v>
                </c:pt>
                <c:pt idx="19">
                  <c:v>53389.263000000006</c:v>
                </c:pt>
                <c:pt idx="20">
                  <c:v>16653.277999999998</c:v>
                </c:pt>
                <c:pt idx="21">
                  <c:v>4296.7449999999999</c:v>
                </c:pt>
                <c:pt idx="22">
                  <c:v>8991.3860000000004</c:v>
                </c:pt>
              </c:numCache>
            </c:numRef>
          </c:val>
        </c:ser>
        <c:ser>
          <c:idx val="1"/>
          <c:order val="1"/>
          <c:tx>
            <c:strRef>
              <c:f>'Section 4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data'!$G$31:$G$53</c:f>
                <c:numCache>
                  <c:formatCode>General</c:formatCode>
                  <c:ptCount val="23"/>
                  <c:pt idx="0">
                    <c:v>230.38483071683515</c:v>
                  </c:pt>
                  <c:pt idx="1">
                    <c:v>2419.4255654835461</c:v>
                  </c:pt>
                  <c:pt idx="2">
                    <c:v>4171.8063689649143</c:v>
                  </c:pt>
                  <c:pt idx="3">
                    <c:v>2300.5616839301638</c:v>
                  </c:pt>
                  <c:pt idx="4">
                    <c:v>807.58301027712514</c:v>
                  </c:pt>
                  <c:pt idx="5">
                    <c:v>296.04233671211477</c:v>
                  </c:pt>
                  <c:pt idx="6">
                    <c:v>157.18093642658101</c:v>
                  </c:pt>
                  <c:pt idx="8">
                    <c:v>1471.3119646056375</c:v>
                  </c:pt>
                  <c:pt idx="9">
                    <c:v>8333.5741267848298</c:v>
                  </c:pt>
                  <c:pt idx="10">
                    <c:v>10828.316466653685</c:v>
                  </c:pt>
                  <c:pt idx="11">
                    <c:v>4996.860647351019</c:v>
                  </c:pt>
                  <c:pt idx="12">
                    <c:v>3990.9498148467123</c:v>
                  </c:pt>
                  <c:pt idx="13">
                    <c:v>2737.0439520970899</c:v>
                  </c:pt>
                  <c:pt idx="14">
                    <c:v>1942.5970134066645</c:v>
                  </c:pt>
                  <c:pt idx="16">
                    <c:v>1499.7177436434454</c:v>
                  </c:pt>
                  <c:pt idx="17">
                    <c:v>8660.2154602212831</c:v>
                  </c:pt>
                  <c:pt idx="18">
                    <c:v>11803.879731557126</c:v>
                  </c:pt>
                  <c:pt idx="19">
                    <c:v>5539.736858006524</c:v>
                  </c:pt>
                  <c:pt idx="20">
                    <c:v>4078.4473912422386</c:v>
                  </c:pt>
                  <c:pt idx="21">
                    <c:v>2759.4315456405275</c:v>
                  </c:pt>
                  <c:pt idx="22">
                    <c:v>1955.1956649979957</c:v>
                  </c:pt>
                </c:numCache>
              </c:numRef>
            </c:plus>
            <c:minus>
              <c:numRef>
                <c:f>'Section 4 data'!$G$31:$G$53</c:f>
                <c:numCache>
                  <c:formatCode>General</c:formatCode>
                  <c:ptCount val="23"/>
                  <c:pt idx="0">
                    <c:v>230.38483071683515</c:v>
                  </c:pt>
                  <c:pt idx="1">
                    <c:v>2419.4255654835461</c:v>
                  </c:pt>
                  <c:pt idx="2">
                    <c:v>4171.8063689649143</c:v>
                  </c:pt>
                  <c:pt idx="3">
                    <c:v>2300.5616839301638</c:v>
                  </c:pt>
                  <c:pt idx="4">
                    <c:v>807.58301027712514</c:v>
                  </c:pt>
                  <c:pt idx="5">
                    <c:v>296.04233671211477</c:v>
                  </c:pt>
                  <c:pt idx="6">
                    <c:v>157.18093642658101</c:v>
                  </c:pt>
                  <c:pt idx="8">
                    <c:v>1471.3119646056375</c:v>
                  </c:pt>
                  <c:pt idx="9">
                    <c:v>8333.5741267848298</c:v>
                  </c:pt>
                  <c:pt idx="10">
                    <c:v>10828.316466653685</c:v>
                  </c:pt>
                  <c:pt idx="11">
                    <c:v>4996.860647351019</c:v>
                  </c:pt>
                  <c:pt idx="12">
                    <c:v>3990.9498148467123</c:v>
                  </c:pt>
                  <c:pt idx="13">
                    <c:v>2737.0439520970899</c:v>
                  </c:pt>
                  <c:pt idx="14">
                    <c:v>1942.5970134066645</c:v>
                  </c:pt>
                  <c:pt idx="16">
                    <c:v>1499.7177436434454</c:v>
                  </c:pt>
                  <c:pt idx="17">
                    <c:v>8660.2154602212831</c:v>
                  </c:pt>
                  <c:pt idx="18">
                    <c:v>11803.879731557126</c:v>
                  </c:pt>
                  <c:pt idx="19">
                    <c:v>5539.736858006524</c:v>
                  </c:pt>
                  <c:pt idx="20">
                    <c:v>4078.4473912422386</c:v>
                  </c:pt>
                  <c:pt idx="21">
                    <c:v>2759.4315456405275</c:v>
                  </c:pt>
                  <c:pt idx="22">
                    <c:v>1955.1956649979957</c:v>
                  </c:pt>
                </c:numCache>
              </c:numRef>
            </c:minus>
          </c:errBars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data'!$E$31:$E$53</c:f>
              <c:numCache>
                <c:formatCode>#,##0</c:formatCode>
                <c:ptCount val="23"/>
                <c:pt idx="0">
                  <c:v>464.90600000000001</c:v>
                </c:pt>
                <c:pt idx="1">
                  <c:v>18963.661</c:v>
                </c:pt>
                <c:pt idx="2">
                  <c:v>72524.138000000006</c:v>
                </c:pt>
                <c:pt idx="3">
                  <c:v>53189.896999999997</c:v>
                </c:pt>
                <c:pt idx="4">
                  <c:v>8419.8790000000008</c:v>
                </c:pt>
                <c:pt idx="5">
                  <c:v>1184.269</c:v>
                </c:pt>
                <c:pt idx="6">
                  <c:v>757.54</c:v>
                </c:pt>
                <c:pt idx="8">
                  <c:v>15852.424999999999</c:v>
                </c:pt>
                <c:pt idx="9">
                  <c:v>254704.72899999999</c:v>
                </c:pt>
                <c:pt idx="10">
                  <c:v>430062.75</c:v>
                </c:pt>
                <c:pt idx="11">
                  <c:v>136646.72399999999</c:v>
                </c:pt>
                <c:pt idx="12">
                  <c:v>79390.209000000003</c:v>
                </c:pt>
                <c:pt idx="13">
                  <c:v>42247.735000000001</c:v>
                </c:pt>
                <c:pt idx="14">
                  <c:v>24369.628000000001</c:v>
                </c:pt>
                <c:pt idx="16">
                  <c:v>16334.898999999999</c:v>
                </c:pt>
                <c:pt idx="17">
                  <c:v>273824.38699999999</c:v>
                </c:pt>
                <c:pt idx="18">
                  <c:v>503337.07199999999</c:v>
                </c:pt>
                <c:pt idx="19">
                  <c:v>189506.24900000001</c:v>
                </c:pt>
                <c:pt idx="20">
                  <c:v>87922.754000000001</c:v>
                </c:pt>
                <c:pt idx="21">
                  <c:v>43488.453999999998</c:v>
                </c:pt>
                <c:pt idx="22">
                  <c:v>25131.621999999999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134784"/>
        <c:axId val="130136320"/>
      </c:barChart>
      <c:catAx>
        <c:axId val="13013478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136320"/>
        <c:crosses val="autoZero"/>
        <c:auto val="1"/>
        <c:lblAlgn val="ctr"/>
        <c:lblOffset val="100"/>
        <c:noMultiLvlLbl val="0"/>
      </c:catAx>
      <c:valAx>
        <c:axId val="130136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013478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trees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85665721460244"/>
          <c:y val="7.9988165905321817E-2"/>
          <c:w val="0.74038903560547975"/>
          <c:h val="0.643535137218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4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data'!$D$58:$D$86</c:f>
              <c:numCache>
                <c:formatCode>#,##0</c:formatCode>
                <c:ptCount val="29"/>
                <c:pt idx="0">
                  <c:v>870.51800000000003</c:v>
                </c:pt>
                <c:pt idx="1">
                  <c:v>16259.281999999999</c:v>
                </c:pt>
                <c:pt idx="2">
                  <c:v>55790.713000000003</c:v>
                </c:pt>
                <c:pt idx="3">
                  <c:v>44531.315000000002</c:v>
                </c:pt>
                <c:pt idx="4">
                  <c:v>22794.772000000001</c:v>
                </c:pt>
                <c:pt idx="5">
                  <c:v>6442.2709999999997</c:v>
                </c:pt>
                <c:pt idx="6">
                  <c:v>2868.375</c:v>
                </c:pt>
                <c:pt idx="7">
                  <c:v>130.184</c:v>
                </c:pt>
                <c:pt idx="8">
                  <c:v>13.342000000000001</c:v>
                </c:pt>
                <c:pt idx="10">
                  <c:v>3334.3150000000001</c:v>
                </c:pt>
                <c:pt idx="11">
                  <c:v>17761.655999999999</c:v>
                </c:pt>
                <c:pt idx="12">
                  <c:v>14717.751</c:v>
                </c:pt>
                <c:pt idx="13">
                  <c:v>9206.31</c:v>
                </c:pt>
                <c:pt idx="14">
                  <c:v>9663.31</c:v>
                </c:pt>
                <c:pt idx="15">
                  <c:v>2903.35</c:v>
                </c:pt>
                <c:pt idx="16">
                  <c:v>563.56899999999996</c:v>
                </c:pt>
                <c:pt idx="17">
                  <c:v>47.162999999999997</c:v>
                </c:pt>
                <c:pt idx="18">
                  <c:v>7.0830000000000002</c:v>
                </c:pt>
                <c:pt idx="20">
                  <c:v>4204.8329999999996</c:v>
                </c:pt>
                <c:pt idx="21">
                  <c:v>34020.936999999998</c:v>
                </c:pt>
                <c:pt idx="22">
                  <c:v>70508.463000000003</c:v>
                </c:pt>
                <c:pt idx="23">
                  <c:v>53737.625</c:v>
                </c:pt>
                <c:pt idx="24">
                  <c:v>32458.080999999998</c:v>
                </c:pt>
                <c:pt idx="25">
                  <c:v>9345.6200000000008</c:v>
                </c:pt>
                <c:pt idx="26">
                  <c:v>3431.9430000000002</c:v>
                </c:pt>
                <c:pt idx="27">
                  <c:v>177.346</c:v>
                </c:pt>
                <c:pt idx="28">
                  <c:v>20.425000000000001</c:v>
                </c:pt>
              </c:numCache>
            </c:numRef>
          </c:val>
        </c:ser>
        <c:ser>
          <c:idx val="1"/>
          <c:order val="1"/>
          <c:tx>
            <c:strRef>
              <c:f>'Section 4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data'!$G$58:$G$86</c:f>
                <c:numCache>
                  <c:formatCode>General</c:formatCode>
                  <c:ptCount val="29"/>
                  <c:pt idx="0">
                    <c:v>434.48053941682082</c:v>
                  </c:pt>
                  <c:pt idx="1">
                    <c:v>2206.5780394132057</c:v>
                  </c:pt>
                  <c:pt idx="2">
                    <c:v>2948.8127037992949</c:v>
                  </c:pt>
                  <c:pt idx="3">
                    <c:v>2419.2450046696572</c:v>
                  </c:pt>
                  <c:pt idx="4">
                    <c:v>2305.4783093680667</c:v>
                  </c:pt>
                  <c:pt idx="5">
                    <c:v>1069.964984537022</c:v>
                  </c:pt>
                  <c:pt idx="6">
                    <c:v>599.05843867900342</c:v>
                  </c:pt>
                  <c:pt idx="7">
                    <c:v>197.04295092274134</c:v>
                  </c:pt>
                  <c:pt idx="8">
                    <c:v>42.96832124598577</c:v>
                  </c:pt>
                  <c:pt idx="10">
                    <c:v>5091.8847653916091</c:v>
                  </c:pt>
                  <c:pt idx="11">
                    <c:v>9697.4794837684294</c:v>
                  </c:pt>
                  <c:pt idx="12">
                    <c:v>7587.6352877836507</c:v>
                  </c:pt>
                  <c:pt idx="13">
                    <c:v>3779.1314422565988</c:v>
                  </c:pt>
                  <c:pt idx="14">
                    <c:v>2604.9491662420814</c:v>
                  </c:pt>
                  <c:pt idx="15">
                    <c:v>1449.6725771972131</c:v>
                  </c:pt>
                  <c:pt idx="16">
                    <c:v>809.23495804796107</c:v>
                  </c:pt>
                  <c:pt idx="17">
                    <c:v>377.58432638852639</c:v>
                  </c:pt>
                  <c:pt idx="18">
                    <c:v>219.61890430128543</c:v>
                  </c:pt>
                  <c:pt idx="20">
                    <c:v>5106.6931629256705</c:v>
                  </c:pt>
                  <c:pt idx="21">
                    <c:v>9921.1919674228084</c:v>
                  </c:pt>
                  <c:pt idx="22">
                    <c:v>8139.8788278926195</c:v>
                  </c:pt>
                  <c:pt idx="23">
                    <c:v>4513.1017525314619</c:v>
                  </c:pt>
                  <c:pt idx="24">
                    <c:v>3457.7140972644929</c:v>
                  </c:pt>
                  <c:pt idx="25">
                    <c:v>1808.6999896888647</c:v>
                  </c:pt>
                  <c:pt idx="26">
                    <c:v>1006.6680372495123</c:v>
                  </c:pt>
                  <c:pt idx="27">
                    <c:v>425.47138851433789</c:v>
                  </c:pt>
                  <c:pt idx="28">
                    <c:v>224.16543508875864</c:v>
                  </c:pt>
                </c:numCache>
              </c:numRef>
            </c:plus>
            <c:minus>
              <c:numRef>
                <c:f>'Section 4 data'!$G$58:$G$86</c:f>
                <c:numCache>
                  <c:formatCode>General</c:formatCode>
                  <c:ptCount val="29"/>
                  <c:pt idx="0">
                    <c:v>434.48053941682082</c:v>
                  </c:pt>
                  <c:pt idx="1">
                    <c:v>2206.5780394132057</c:v>
                  </c:pt>
                  <c:pt idx="2">
                    <c:v>2948.8127037992949</c:v>
                  </c:pt>
                  <c:pt idx="3">
                    <c:v>2419.2450046696572</c:v>
                  </c:pt>
                  <c:pt idx="4">
                    <c:v>2305.4783093680667</c:v>
                  </c:pt>
                  <c:pt idx="5">
                    <c:v>1069.964984537022</c:v>
                  </c:pt>
                  <c:pt idx="6">
                    <c:v>599.05843867900342</c:v>
                  </c:pt>
                  <c:pt idx="7">
                    <c:v>197.04295092274134</c:v>
                  </c:pt>
                  <c:pt idx="8">
                    <c:v>42.96832124598577</c:v>
                  </c:pt>
                  <c:pt idx="10">
                    <c:v>5091.8847653916091</c:v>
                  </c:pt>
                  <c:pt idx="11">
                    <c:v>9697.4794837684294</c:v>
                  </c:pt>
                  <c:pt idx="12">
                    <c:v>7587.6352877836507</c:v>
                  </c:pt>
                  <c:pt idx="13">
                    <c:v>3779.1314422565988</c:v>
                  </c:pt>
                  <c:pt idx="14">
                    <c:v>2604.9491662420814</c:v>
                  </c:pt>
                  <c:pt idx="15">
                    <c:v>1449.6725771972131</c:v>
                  </c:pt>
                  <c:pt idx="16">
                    <c:v>809.23495804796107</c:v>
                  </c:pt>
                  <c:pt idx="17">
                    <c:v>377.58432638852639</c:v>
                  </c:pt>
                  <c:pt idx="18">
                    <c:v>219.61890430128543</c:v>
                  </c:pt>
                  <c:pt idx="20">
                    <c:v>5106.6931629256705</c:v>
                  </c:pt>
                  <c:pt idx="21">
                    <c:v>9921.1919674228084</c:v>
                  </c:pt>
                  <c:pt idx="22">
                    <c:v>8139.8788278926195</c:v>
                  </c:pt>
                  <c:pt idx="23">
                    <c:v>4513.1017525314619</c:v>
                  </c:pt>
                  <c:pt idx="24">
                    <c:v>3457.7140972644929</c:v>
                  </c:pt>
                  <c:pt idx="25">
                    <c:v>1808.6999896888647</c:v>
                  </c:pt>
                  <c:pt idx="26">
                    <c:v>1006.6680372495123</c:v>
                  </c:pt>
                  <c:pt idx="27">
                    <c:v>425.47138851433789</c:v>
                  </c:pt>
                  <c:pt idx="28">
                    <c:v>224.16543508875864</c:v>
                  </c:pt>
                </c:numCache>
              </c:numRef>
            </c:minus>
          </c:errBars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data'!$E$58:$E$86</c:f>
              <c:numCache>
                <c:formatCode>#,##0</c:formatCode>
                <c:ptCount val="29"/>
                <c:pt idx="0">
                  <c:v>1344.8910000000001</c:v>
                </c:pt>
                <c:pt idx="1">
                  <c:v>16547.439999999999</c:v>
                </c:pt>
                <c:pt idx="2">
                  <c:v>26586.356</c:v>
                </c:pt>
                <c:pt idx="3">
                  <c:v>28915.35</c:v>
                </c:pt>
                <c:pt idx="4">
                  <c:v>44501.286999999997</c:v>
                </c:pt>
                <c:pt idx="5">
                  <c:v>19485.272000000001</c:v>
                </c:pt>
                <c:pt idx="6">
                  <c:v>7170.0150000000003</c:v>
                </c:pt>
                <c:pt idx="7">
                  <c:v>484.70400000000001</c:v>
                </c:pt>
                <c:pt idx="8">
                  <c:v>150.506</c:v>
                </c:pt>
                <c:pt idx="10">
                  <c:v>81093.243000000002</c:v>
                </c:pt>
                <c:pt idx="11">
                  <c:v>374025.81900000002</c:v>
                </c:pt>
                <c:pt idx="12">
                  <c:v>219912.85200000001</c:v>
                </c:pt>
                <c:pt idx="13">
                  <c:v>87849.714999999997</c:v>
                </c:pt>
                <c:pt idx="14">
                  <c:v>76522.137000000002</c:v>
                </c:pt>
                <c:pt idx="15">
                  <c:v>30400.537</c:v>
                </c:pt>
                <c:pt idx="16">
                  <c:v>20478.330000000002</c:v>
                </c:pt>
                <c:pt idx="17">
                  <c:v>5120.5</c:v>
                </c:pt>
                <c:pt idx="18">
                  <c:v>1851.94</c:v>
                </c:pt>
                <c:pt idx="20">
                  <c:v>82498.11</c:v>
                </c:pt>
                <c:pt idx="21">
                  <c:v>391033.89399999997</c:v>
                </c:pt>
                <c:pt idx="22">
                  <c:v>246963.98300000001</c:v>
                </c:pt>
                <c:pt idx="23">
                  <c:v>117002.702</c:v>
                </c:pt>
                <c:pt idx="24">
                  <c:v>120615.69</c:v>
                </c:pt>
                <c:pt idx="25">
                  <c:v>49858.381000000001</c:v>
                </c:pt>
                <c:pt idx="26">
                  <c:v>27651.194</c:v>
                </c:pt>
                <c:pt idx="27">
                  <c:v>5601.3630000000003</c:v>
                </c:pt>
                <c:pt idx="28">
                  <c:v>2005.998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206720"/>
        <c:axId val="130216704"/>
      </c:barChart>
      <c:catAx>
        <c:axId val="1302067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216704"/>
        <c:crosses val="autoZero"/>
        <c:auto val="1"/>
        <c:lblAlgn val="ctr"/>
        <c:lblOffset val="100"/>
        <c:noMultiLvlLbl val="0"/>
      </c:catAx>
      <c:valAx>
        <c:axId val="130216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02067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Proportion of woodland area by ownership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'Eng Table 3'!$C$5:$D$5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3'!$B$7:$B$21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and Cornwall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Gtr Mancs Mersey and Ches</c:v>
                </c:pt>
                <c:pt idx="6">
                  <c:v>Herts and North London</c:v>
                </c:pt>
                <c:pt idx="7">
                  <c:v>Kent S London and E Sussex</c:v>
                </c:pt>
                <c:pt idx="8">
                  <c:v>Lincs and Northants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'Eng Table 3'!$D$7:$D$21</c:f>
              <c:numCache>
                <c:formatCode>0%</c:formatCode>
                <c:ptCount val="15"/>
                <c:pt idx="0">
                  <c:v>0.16523542309893685</c:v>
                </c:pt>
                <c:pt idx="1">
                  <c:v>0.23582820739554736</c:v>
                </c:pt>
                <c:pt idx="2">
                  <c:v>0.10216843163598525</c:v>
                </c:pt>
                <c:pt idx="3">
                  <c:v>0.18007357872357699</c:v>
                </c:pt>
                <c:pt idx="4">
                  <c:v>0.14621421914416413</c:v>
                </c:pt>
                <c:pt idx="5">
                  <c:v>4.6494265401180582E-2</c:v>
                </c:pt>
                <c:pt idx="6">
                  <c:v>2.3490839485632062E-2</c:v>
                </c:pt>
                <c:pt idx="7">
                  <c:v>6.2352953746390223E-2</c:v>
                </c:pt>
                <c:pt idx="8">
                  <c:v>0.21572889276592766</c:v>
                </c:pt>
                <c:pt idx="9">
                  <c:v>0.43322665260842108</c:v>
                </c:pt>
                <c:pt idx="10">
                  <c:v>0.1977707102575651</c:v>
                </c:pt>
                <c:pt idx="11">
                  <c:v>3.1732803317400672E-2</c:v>
                </c:pt>
                <c:pt idx="12">
                  <c:v>0.12135362899935712</c:v>
                </c:pt>
                <c:pt idx="13">
                  <c:v>0.15842607675477749</c:v>
                </c:pt>
                <c:pt idx="14">
                  <c:v>0.17455957837371672</c:v>
                </c:pt>
              </c:numCache>
            </c:numRef>
          </c:val>
        </c:ser>
        <c:ser>
          <c:idx val="1"/>
          <c:order val="1"/>
          <c:tx>
            <c:strRef>
              <c:f>'Eng Table 3'!$E$5:$F$5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3'!$B$7:$B$21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and Cornwall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Gtr Mancs Mersey and Ches</c:v>
                </c:pt>
                <c:pt idx="6">
                  <c:v>Herts and North London</c:v>
                </c:pt>
                <c:pt idx="7">
                  <c:v>Kent S London and E Sussex</c:v>
                </c:pt>
                <c:pt idx="8">
                  <c:v>Lincs and Northants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'Eng Table 3'!$F$7:$F$21</c:f>
              <c:numCache>
                <c:formatCode>0%</c:formatCode>
                <c:ptCount val="15"/>
                <c:pt idx="0">
                  <c:v>0.83476457690106309</c:v>
                </c:pt>
                <c:pt idx="1">
                  <c:v>0.76417179260445267</c:v>
                </c:pt>
                <c:pt idx="2">
                  <c:v>0.89783156836401468</c:v>
                </c:pt>
                <c:pt idx="3">
                  <c:v>0.8199264212764229</c:v>
                </c:pt>
                <c:pt idx="4">
                  <c:v>0.8537857808558359</c:v>
                </c:pt>
                <c:pt idx="5">
                  <c:v>0.95350573459881938</c:v>
                </c:pt>
                <c:pt idx="6">
                  <c:v>0.97650916051436798</c:v>
                </c:pt>
                <c:pt idx="7">
                  <c:v>0.93764704625360973</c:v>
                </c:pt>
                <c:pt idx="8">
                  <c:v>0.78427110723407234</c:v>
                </c:pt>
                <c:pt idx="9">
                  <c:v>0.56677334739157892</c:v>
                </c:pt>
                <c:pt idx="10">
                  <c:v>0.8022292897424349</c:v>
                </c:pt>
                <c:pt idx="11">
                  <c:v>0.96826719668259942</c:v>
                </c:pt>
                <c:pt idx="12">
                  <c:v>0.8786463710006428</c:v>
                </c:pt>
                <c:pt idx="13">
                  <c:v>0.8415739232452224</c:v>
                </c:pt>
                <c:pt idx="14">
                  <c:v>0.82544042162628328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7024512"/>
        <c:axId val="127059072"/>
      </c:barChart>
      <c:catAx>
        <c:axId val="127024512"/>
        <c:scaling>
          <c:orientation val="maxMin"/>
        </c:scaling>
        <c:delete val="0"/>
        <c:axPos val="l"/>
        <c:majorTickMark val="out"/>
        <c:minorTickMark val="none"/>
        <c:tickLblPos val="nextTo"/>
        <c:crossAx val="127059072"/>
        <c:crosses val="autoZero"/>
        <c:auto val="1"/>
        <c:lblAlgn val="ctr"/>
        <c:lblOffset val="100"/>
        <c:noMultiLvlLbl val="0"/>
      </c:catAx>
      <c:valAx>
        <c:axId val="12705907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270245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85665721460244"/>
          <c:y val="7.9988165905321817E-2"/>
          <c:w val="0.74038903560547975"/>
          <c:h val="0.643535137218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4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data'!$D$58:$D$86</c:f>
              <c:numCache>
                <c:formatCode>#,##0</c:formatCode>
                <c:ptCount val="29"/>
                <c:pt idx="0">
                  <c:v>870.51800000000003</c:v>
                </c:pt>
                <c:pt idx="1">
                  <c:v>16259.281999999999</c:v>
                </c:pt>
                <c:pt idx="2">
                  <c:v>55790.713000000003</c:v>
                </c:pt>
                <c:pt idx="3">
                  <c:v>44531.315000000002</c:v>
                </c:pt>
                <c:pt idx="4">
                  <c:v>22794.772000000001</c:v>
                </c:pt>
                <c:pt idx="5">
                  <c:v>6442.2709999999997</c:v>
                </c:pt>
                <c:pt idx="6">
                  <c:v>2868.375</c:v>
                </c:pt>
                <c:pt idx="7">
                  <c:v>130.184</c:v>
                </c:pt>
                <c:pt idx="8">
                  <c:v>13.342000000000001</c:v>
                </c:pt>
                <c:pt idx="10">
                  <c:v>3334.3150000000001</c:v>
                </c:pt>
                <c:pt idx="11">
                  <c:v>17761.655999999999</c:v>
                </c:pt>
                <c:pt idx="12">
                  <c:v>14717.751</c:v>
                </c:pt>
                <c:pt idx="13">
                  <c:v>9206.31</c:v>
                </c:pt>
                <c:pt idx="14">
                  <c:v>9663.31</c:v>
                </c:pt>
                <c:pt idx="15">
                  <c:v>2903.35</c:v>
                </c:pt>
                <c:pt idx="16">
                  <c:v>563.56899999999996</c:v>
                </c:pt>
                <c:pt idx="17">
                  <c:v>47.162999999999997</c:v>
                </c:pt>
                <c:pt idx="18">
                  <c:v>7.0830000000000002</c:v>
                </c:pt>
                <c:pt idx="20">
                  <c:v>4204.8329999999996</c:v>
                </c:pt>
                <c:pt idx="21">
                  <c:v>34020.936999999998</c:v>
                </c:pt>
                <c:pt idx="22">
                  <c:v>70508.463000000003</c:v>
                </c:pt>
                <c:pt idx="23">
                  <c:v>53737.625</c:v>
                </c:pt>
                <c:pt idx="24">
                  <c:v>32458.080999999998</c:v>
                </c:pt>
                <c:pt idx="25">
                  <c:v>9345.6200000000008</c:v>
                </c:pt>
                <c:pt idx="26">
                  <c:v>3431.9430000000002</c:v>
                </c:pt>
                <c:pt idx="27">
                  <c:v>177.346</c:v>
                </c:pt>
                <c:pt idx="28">
                  <c:v>20.425000000000001</c:v>
                </c:pt>
              </c:numCache>
            </c:numRef>
          </c:val>
        </c:ser>
        <c:ser>
          <c:idx val="1"/>
          <c:order val="1"/>
          <c:tx>
            <c:strRef>
              <c:f>'Section 4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data'!$G$58:$G$86</c:f>
                <c:numCache>
                  <c:formatCode>General</c:formatCode>
                  <c:ptCount val="29"/>
                  <c:pt idx="0">
                    <c:v>434.48053941682082</c:v>
                  </c:pt>
                  <c:pt idx="1">
                    <c:v>2206.5780394132057</c:v>
                  </c:pt>
                  <c:pt idx="2">
                    <c:v>2948.8127037992949</c:v>
                  </c:pt>
                  <c:pt idx="3">
                    <c:v>2419.2450046696572</c:v>
                  </c:pt>
                  <c:pt idx="4">
                    <c:v>2305.4783093680667</c:v>
                  </c:pt>
                  <c:pt idx="5">
                    <c:v>1069.964984537022</c:v>
                  </c:pt>
                  <c:pt idx="6">
                    <c:v>599.05843867900342</c:v>
                  </c:pt>
                  <c:pt idx="7">
                    <c:v>197.04295092274134</c:v>
                  </c:pt>
                  <c:pt idx="8">
                    <c:v>42.96832124598577</c:v>
                  </c:pt>
                  <c:pt idx="10">
                    <c:v>5091.8847653916091</c:v>
                  </c:pt>
                  <c:pt idx="11">
                    <c:v>9697.4794837684294</c:v>
                  </c:pt>
                  <c:pt idx="12">
                    <c:v>7587.6352877836507</c:v>
                  </c:pt>
                  <c:pt idx="13">
                    <c:v>3779.1314422565988</c:v>
                  </c:pt>
                  <c:pt idx="14">
                    <c:v>2604.9491662420814</c:v>
                  </c:pt>
                  <c:pt idx="15">
                    <c:v>1449.6725771972131</c:v>
                  </c:pt>
                  <c:pt idx="16">
                    <c:v>809.23495804796107</c:v>
                  </c:pt>
                  <c:pt idx="17">
                    <c:v>377.58432638852639</c:v>
                  </c:pt>
                  <c:pt idx="18">
                    <c:v>219.61890430128543</c:v>
                  </c:pt>
                  <c:pt idx="20">
                    <c:v>5106.6931629256705</c:v>
                  </c:pt>
                  <c:pt idx="21">
                    <c:v>9921.1919674228084</c:v>
                  </c:pt>
                  <c:pt idx="22">
                    <c:v>8139.8788278926195</c:v>
                  </c:pt>
                  <c:pt idx="23">
                    <c:v>4513.1017525314619</c:v>
                  </c:pt>
                  <c:pt idx="24">
                    <c:v>3457.7140972644929</c:v>
                  </c:pt>
                  <c:pt idx="25">
                    <c:v>1808.6999896888647</c:v>
                  </c:pt>
                  <c:pt idx="26">
                    <c:v>1006.6680372495123</c:v>
                  </c:pt>
                  <c:pt idx="27">
                    <c:v>425.47138851433789</c:v>
                  </c:pt>
                  <c:pt idx="28">
                    <c:v>224.16543508875864</c:v>
                  </c:pt>
                </c:numCache>
              </c:numRef>
            </c:plus>
            <c:minus>
              <c:numRef>
                <c:f>'Section 4 data'!$G$58:$G$86</c:f>
                <c:numCache>
                  <c:formatCode>General</c:formatCode>
                  <c:ptCount val="29"/>
                  <c:pt idx="0">
                    <c:v>434.48053941682082</c:v>
                  </c:pt>
                  <c:pt idx="1">
                    <c:v>2206.5780394132057</c:v>
                  </c:pt>
                  <c:pt idx="2">
                    <c:v>2948.8127037992949</c:v>
                  </c:pt>
                  <c:pt idx="3">
                    <c:v>2419.2450046696572</c:v>
                  </c:pt>
                  <c:pt idx="4">
                    <c:v>2305.4783093680667</c:v>
                  </c:pt>
                  <c:pt idx="5">
                    <c:v>1069.964984537022</c:v>
                  </c:pt>
                  <c:pt idx="6">
                    <c:v>599.05843867900342</c:v>
                  </c:pt>
                  <c:pt idx="7">
                    <c:v>197.04295092274134</c:v>
                  </c:pt>
                  <c:pt idx="8">
                    <c:v>42.96832124598577</c:v>
                  </c:pt>
                  <c:pt idx="10">
                    <c:v>5091.8847653916091</c:v>
                  </c:pt>
                  <c:pt idx="11">
                    <c:v>9697.4794837684294</c:v>
                  </c:pt>
                  <c:pt idx="12">
                    <c:v>7587.6352877836507</c:v>
                  </c:pt>
                  <c:pt idx="13">
                    <c:v>3779.1314422565988</c:v>
                  </c:pt>
                  <c:pt idx="14">
                    <c:v>2604.9491662420814</c:v>
                  </c:pt>
                  <c:pt idx="15">
                    <c:v>1449.6725771972131</c:v>
                  </c:pt>
                  <c:pt idx="16">
                    <c:v>809.23495804796107</c:v>
                  </c:pt>
                  <c:pt idx="17">
                    <c:v>377.58432638852639</c:v>
                  </c:pt>
                  <c:pt idx="18">
                    <c:v>219.61890430128543</c:v>
                  </c:pt>
                  <c:pt idx="20">
                    <c:v>5106.6931629256705</c:v>
                  </c:pt>
                  <c:pt idx="21">
                    <c:v>9921.1919674228084</c:v>
                  </c:pt>
                  <c:pt idx="22">
                    <c:v>8139.8788278926195</c:v>
                  </c:pt>
                  <c:pt idx="23">
                    <c:v>4513.1017525314619</c:v>
                  </c:pt>
                  <c:pt idx="24">
                    <c:v>3457.7140972644929</c:v>
                  </c:pt>
                  <c:pt idx="25">
                    <c:v>1808.6999896888647</c:v>
                  </c:pt>
                  <c:pt idx="26">
                    <c:v>1006.6680372495123</c:v>
                  </c:pt>
                  <c:pt idx="27">
                    <c:v>425.47138851433789</c:v>
                  </c:pt>
                  <c:pt idx="28">
                    <c:v>224.16543508875864</c:v>
                  </c:pt>
                </c:numCache>
              </c:numRef>
            </c:minus>
          </c:errBars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data'!$E$58:$E$86</c:f>
              <c:numCache>
                <c:formatCode>#,##0</c:formatCode>
                <c:ptCount val="29"/>
                <c:pt idx="0">
                  <c:v>1344.8910000000001</c:v>
                </c:pt>
                <c:pt idx="1">
                  <c:v>16547.439999999999</c:v>
                </c:pt>
                <c:pt idx="2">
                  <c:v>26586.356</c:v>
                </c:pt>
                <c:pt idx="3">
                  <c:v>28915.35</c:v>
                </c:pt>
                <c:pt idx="4">
                  <c:v>44501.286999999997</c:v>
                </c:pt>
                <c:pt idx="5">
                  <c:v>19485.272000000001</c:v>
                </c:pt>
                <c:pt idx="6">
                  <c:v>7170.0150000000003</c:v>
                </c:pt>
                <c:pt idx="7">
                  <c:v>484.70400000000001</c:v>
                </c:pt>
                <c:pt idx="8">
                  <c:v>150.506</c:v>
                </c:pt>
                <c:pt idx="10">
                  <c:v>81093.243000000002</c:v>
                </c:pt>
                <c:pt idx="11">
                  <c:v>374025.81900000002</c:v>
                </c:pt>
                <c:pt idx="12">
                  <c:v>219912.85200000001</c:v>
                </c:pt>
                <c:pt idx="13">
                  <c:v>87849.714999999997</c:v>
                </c:pt>
                <c:pt idx="14">
                  <c:v>76522.137000000002</c:v>
                </c:pt>
                <c:pt idx="15">
                  <c:v>30400.537</c:v>
                </c:pt>
                <c:pt idx="16">
                  <c:v>20478.330000000002</c:v>
                </c:pt>
                <c:pt idx="17">
                  <c:v>5120.5</c:v>
                </c:pt>
                <c:pt idx="18">
                  <c:v>1851.94</c:v>
                </c:pt>
                <c:pt idx="20">
                  <c:v>82498.11</c:v>
                </c:pt>
                <c:pt idx="21">
                  <c:v>391033.89399999997</c:v>
                </c:pt>
                <c:pt idx="22">
                  <c:v>246963.98300000001</c:v>
                </c:pt>
                <c:pt idx="23">
                  <c:v>117002.702</c:v>
                </c:pt>
                <c:pt idx="24">
                  <c:v>120615.69</c:v>
                </c:pt>
                <c:pt idx="25">
                  <c:v>49858.381000000001</c:v>
                </c:pt>
                <c:pt idx="26">
                  <c:v>27651.194</c:v>
                </c:pt>
                <c:pt idx="27">
                  <c:v>5601.3630000000003</c:v>
                </c:pt>
                <c:pt idx="28">
                  <c:v>2005.998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891392"/>
        <c:axId val="134764416"/>
      </c:barChart>
      <c:catAx>
        <c:axId val="308913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4764416"/>
        <c:crosses val="autoZero"/>
        <c:auto val="1"/>
        <c:lblAlgn val="ctr"/>
        <c:lblOffset val="100"/>
        <c:noMultiLvlLbl val="0"/>
      </c:catAx>
      <c:valAx>
        <c:axId val="134764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layout>
            <c:manualLayout>
              <c:xMode val="edge"/>
              <c:yMode val="edge"/>
              <c:x val="0.39767308839099902"/>
              <c:y val="0.8110470730972484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089139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Biomass stocks by principal tree species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5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5 data'!$H$8:$H$26</c:f>
              <c:numCache>
                <c:formatCode>#,##0</c:formatCode>
                <c:ptCount val="19"/>
                <c:pt idx="0">
                  <c:v>12681.224999999999</c:v>
                </c:pt>
                <c:pt idx="1">
                  <c:v>12808.277</c:v>
                </c:pt>
                <c:pt idx="2">
                  <c:v>6023.2190000000001</c:v>
                </c:pt>
                <c:pt idx="3">
                  <c:v>4584.1080000000002</c:v>
                </c:pt>
                <c:pt idx="4">
                  <c:v>7420.2750000000005</c:v>
                </c:pt>
                <c:pt idx="5">
                  <c:v>5858.1729999999998</c:v>
                </c:pt>
                <c:pt idx="6">
                  <c:v>1319.1949999999999</c:v>
                </c:pt>
                <c:pt idx="7">
                  <c:v>4933.1139999999996</c:v>
                </c:pt>
                <c:pt idx="8">
                  <c:v>45872.148000000001</c:v>
                </c:pt>
                <c:pt idx="9">
                  <c:v>18723.607</c:v>
                </c:pt>
                <c:pt idx="10">
                  <c:v>13580.35</c:v>
                </c:pt>
                <c:pt idx="11">
                  <c:v>24553.739000000001</c:v>
                </c:pt>
                <c:pt idx="12">
                  <c:v>11178.246000000001</c:v>
                </c:pt>
                <c:pt idx="13">
                  <c:v>6272.4519999999993</c:v>
                </c:pt>
                <c:pt idx="14">
                  <c:v>4686.2139999999999</c:v>
                </c:pt>
                <c:pt idx="15">
                  <c:v>3208.3690000000001</c:v>
                </c:pt>
                <c:pt idx="16">
                  <c:v>5287.4229999999998</c:v>
                </c:pt>
                <c:pt idx="17">
                  <c:v>4923.1760000000004</c:v>
                </c:pt>
                <c:pt idx="18">
                  <c:v>14570.741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707264"/>
        <c:axId val="135705344"/>
      </c:barChart>
      <c:valAx>
        <c:axId val="135705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5707264"/>
        <c:crosses val="max"/>
        <c:crossBetween val="between"/>
      </c:valAx>
      <c:catAx>
        <c:axId val="135707264"/>
        <c:scaling>
          <c:orientation val="maxMin"/>
        </c:scaling>
        <c:delete val="0"/>
        <c:axPos val="l"/>
        <c:majorTickMark val="out"/>
        <c:minorTickMark val="none"/>
        <c:tickLblPos val="nextTo"/>
        <c:crossAx val="1357053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098543890936235"/>
          <c:w val="0.63771113409169256"/>
          <c:h val="0.77189602423053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5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5 data'!$H$8:$H$26</c:f>
              <c:numCache>
                <c:formatCode>#,##0</c:formatCode>
                <c:ptCount val="19"/>
                <c:pt idx="0">
                  <c:v>12681.224999999999</c:v>
                </c:pt>
                <c:pt idx="1">
                  <c:v>12808.277</c:v>
                </c:pt>
                <c:pt idx="2">
                  <c:v>6023.2190000000001</c:v>
                </c:pt>
                <c:pt idx="3">
                  <c:v>4584.1080000000002</c:v>
                </c:pt>
                <c:pt idx="4">
                  <c:v>7420.2750000000005</c:v>
                </c:pt>
                <c:pt idx="5">
                  <c:v>5858.1729999999998</c:v>
                </c:pt>
                <c:pt idx="6">
                  <c:v>1319.1949999999999</c:v>
                </c:pt>
                <c:pt idx="7">
                  <c:v>4933.1139999999996</c:v>
                </c:pt>
                <c:pt idx="8">
                  <c:v>45872.148000000001</c:v>
                </c:pt>
                <c:pt idx="9">
                  <c:v>18723.607</c:v>
                </c:pt>
                <c:pt idx="10">
                  <c:v>13580.35</c:v>
                </c:pt>
                <c:pt idx="11">
                  <c:v>24553.739000000001</c:v>
                </c:pt>
                <c:pt idx="12">
                  <c:v>11178.246000000001</c:v>
                </c:pt>
                <c:pt idx="13">
                  <c:v>6272.4519999999993</c:v>
                </c:pt>
                <c:pt idx="14">
                  <c:v>4686.2139999999999</c:v>
                </c:pt>
                <c:pt idx="15">
                  <c:v>3208.3690000000001</c:v>
                </c:pt>
                <c:pt idx="16">
                  <c:v>5287.4229999999998</c:v>
                </c:pt>
                <c:pt idx="17">
                  <c:v>4923.1760000000004</c:v>
                </c:pt>
                <c:pt idx="18">
                  <c:v>14570.741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077888"/>
        <c:axId val="135075712"/>
      </c:barChart>
      <c:valAx>
        <c:axId val="135075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5077888"/>
        <c:crosses val="max"/>
        <c:crossBetween val="between"/>
      </c:valAx>
      <c:catAx>
        <c:axId val="135077888"/>
        <c:scaling>
          <c:orientation val="maxMin"/>
        </c:scaling>
        <c:delete val="0"/>
        <c:axPos val="l"/>
        <c:majorTickMark val="out"/>
        <c:minorTickMark val="none"/>
        <c:tickLblPos val="nextTo"/>
        <c:crossAx val="1350757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Biomass stocks in all conifers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country'!$G$7:$G$20</c:f>
              <c:numCache>
                <c:formatCode>#,##0</c:formatCode>
                <c:ptCount val="14"/>
                <c:pt idx="0">
                  <c:v>1841.8579999999999</c:v>
                </c:pt>
                <c:pt idx="1">
                  <c:v>1161.96</c:v>
                </c:pt>
                <c:pt idx="2">
                  <c:v>2173.7420000000002</c:v>
                </c:pt>
                <c:pt idx="3">
                  <c:v>680.49900000000002</c:v>
                </c:pt>
                <c:pt idx="4">
                  <c:v>80.052000000000007</c:v>
                </c:pt>
                <c:pt idx="5">
                  <c:v>31.231999999999999</c:v>
                </c:pt>
                <c:pt idx="6">
                  <c:v>344.06200000000001</c:v>
                </c:pt>
                <c:pt idx="7">
                  <c:v>442.911</c:v>
                </c:pt>
                <c:pt idx="8">
                  <c:v>4561.4229999999998</c:v>
                </c:pt>
                <c:pt idx="9">
                  <c:v>1374.81</c:v>
                </c:pt>
                <c:pt idx="10">
                  <c:v>168.262</c:v>
                </c:pt>
                <c:pt idx="11">
                  <c:v>895.74199999999996</c:v>
                </c:pt>
                <c:pt idx="12">
                  <c:v>1923.4480000000001</c:v>
                </c:pt>
                <c:pt idx="13">
                  <c:v>1614.4059999999999</c:v>
                </c:pt>
              </c:numCache>
            </c:numRef>
          </c:val>
        </c:ser>
        <c:ser>
          <c:idx val="1"/>
          <c:order val="1"/>
          <c:tx>
            <c:strRef>
              <c:f>'Section 5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country'!$Q$7:$Q$20</c:f>
                <c:numCache>
                  <c:formatCode>General</c:formatCode>
                  <c:ptCount val="14"/>
                  <c:pt idx="0">
                    <c:v>249.82439300000001</c:v>
                  </c:pt>
                  <c:pt idx="1">
                    <c:v>255.71308879999998</c:v>
                  </c:pt>
                  <c:pt idx="2">
                    <c:v>199.02061999999998</c:v>
                  </c:pt>
                  <c:pt idx="3">
                    <c:v>197.52308219999998</c:v>
                  </c:pt>
                  <c:pt idx="4">
                    <c:v>66.022678499999998</c:v>
                  </c:pt>
                  <c:pt idx="5">
                    <c:v>95.692146300000005</c:v>
                  </c:pt>
                  <c:pt idx="6">
                    <c:v>164.26780500000001</c:v>
                  </c:pt>
                  <c:pt idx="7">
                    <c:v>88.419660999999991</c:v>
                  </c:pt>
                  <c:pt idx="8">
                    <c:v>360.05752949999993</c:v>
                  </c:pt>
                  <c:pt idx="9">
                    <c:v>185.79354920000003</c:v>
                  </c:pt>
                  <c:pt idx="10">
                    <c:v>220.60705920000001</c:v>
                  </c:pt>
                  <c:pt idx="11">
                    <c:v>303.96187800000001</c:v>
                  </c:pt>
                  <c:pt idx="12">
                    <c:v>430.86010499999998</c:v>
                  </c:pt>
                  <c:pt idx="13">
                    <c:v>210.01749860000001</c:v>
                  </c:pt>
                </c:numCache>
              </c:numRef>
            </c:plus>
            <c:minus>
              <c:numRef>
                <c:f>'Section 5 data country'!$Q$7:$Q$20</c:f>
                <c:numCache>
                  <c:formatCode>General</c:formatCode>
                  <c:ptCount val="14"/>
                  <c:pt idx="0">
                    <c:v>249.82439300000001</c:v>
                  </c:pt>
                  <c:pt idx="1">
                    <c:v>255.71308879999998</c:v>
                  </c:pt>
                  <c:pt idx="2">
                    <c:v>199.02061999999998</c:v>
                  </c:pt>
                  <c:pt idx="3">
                    <c:v>197.52308219999998</c:v>
                  </c:pt>
                  <c:pt idx="4">
                    <c:v>66.022678499999998</c:v>
                  </c:pt>
                  <c:pt idx="5">
                    <c:v>95.692146300000005</c:v>
                  </c:pt>
                  <c:pt idx="6">
                    <c:v>164.26780500000001</c:v>
                  </c:pt>
                  <c:pt idx="7">
                    <c:v>88.419660999999991</c:v>
                  </c:pt>
                  <c:pt idx="8">
                    <c:v>360.05752949999993</c:v>
                  </c:pt>
                  <c:pt idx="9">
                    <c:v>185.79354920000003</c:v>
                  </c:pt>
                  <c:pt idx="10">
                    <c:v>220.60705920000001</c:v>
                  </c:pt>
                  <c:pt idx="11">
                    <c:v>303.96187800000001</c:v>
                  </c:pt>
                  <c:pt idx="12">
                    <c:v>430.86010499999998</c:v>
                  </c:pt>
                  <c:pt idx="13">
                    <c:v>210.01749860000001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country'!$H$7:$H$20</c:f>
              <c:numCache>
                <c:formatCode>#,##0</c:formatCode>
                <c:ptCount val="14"/>
                <c:pt idx="0">
                  <c:v>3641.7550000000001</c:v>
                </c:pt>
                <c:pt idx="1">
                  <c:v>3782.7379999999998</c:v>
                </c:pt>
                <c:pt idx="2">
                  <c:v>2568.0079999999998</c:v>
                </c:pt>
                <c:pt idx="3">
                  <c:v>1520.578</c:v>
                </c:pt>
                <c:pt idx="4">
                  <c:v>367.40499999999997</c:v>
                </c:pt>
                <c:pt idx="5">
                  <c:v>555.38099999999997</c:v>
                </c:pt>
                <c:pt idx="6">
                  <c:v>1684.798</c:v>
                </c:pt>
                <c:pt idx="7">
                  <c:v>730.74099999999999</c:v>
                </c:pt>
                <c:pt idx="8">
                  <c:v>5107.1989999999996</c:v>
                </c:pt>
                <c:pt idx="9">
                  <c:v>2884.9929999999999</c:v>
                </c:pt>
                <c:pt idx="10">
                  <c:v>3133.623</c:v>
                </c:pt>
                <c:pt idx="11">
                  <c:v>3794.78</c:v>
                </c:pt>
                <c:pt idx="12">
                  <c:v>4952.415</c:v>
                </c:pt>
                <c:pt idx="13">
                  <c:v>3639.8180000000002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770496"/>
        <c:axId val="135772032"/>
      </c:barChart>
      <c:catAx>
        <c:axId val="135770496"/>
        <c:scaling>
          <c:orientation val="maxMin"/>
        </c:scaling>
        <c:delete val="0"/>
        <c:axPos val="l"/>
        <c:majorTickMark val="out"/>
        <c:minorTickMark val="none"/>
        <c:tickLblPos val="nextTo"/>
        <c:crossAx val="135772032"/>
        <c:crosses val="autoZero"/>
        <c:auto val="1"/>
        <c:lblAlgn val="ctr"/>
        <c:lblOffset val="100"/>
        <c:tickLblSkip val="1"/>
        <c:noMultiLvlLbl val="0"/>
      </c:catAx>
      <c:valAx>
        <c:axId val="135772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5770496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country'!$G$7:$G$20</c:f>
              <c:numCache>
                <c:formatCode>#,##0</c:formatCode>
                <c:ptCount val="14"/>
                <c:pt idx="0">
                  <c:v>1841.8579999999999</c:v>
                </c:pt>
                <c:pt idx="1">
                  <c:v>1161.96</c:v>
                </c:pt>
                <c:pt idx="2">
                  <c:v>2173.7420000000002</c:v>
                </c:pt>
                <c:pt idx="3">
                  <c:v>680.49900000000002</c:v>
                </c:pt>
                <c:pt idx="4">
                  <c:v>80.052000000000007</c:v>
                </c:pt>
                <c:pt idx="5">
                  <c:v>31.231999999999999</c:v>
                </c:pt>
                <c:pt idx="6">
                  <c:v>344.06200000000001</c:v>
                </c:pt>
                <c:pt idx="7">
                  <c:v>442.911</c:v>
                </c:pt>
                <c:pt idx="8">
                  <c:v>4561.4229999999998</c:v>
                </c:pt>
                <c:pt idx="9">
                  <c:v>1374.81</c:v>
                </c:pt>
                <c:pt idx="10">
                  <c:v>168.262</c:v>
                </c:pt>
                <c:pt idx="11">
                  <c:v>895.74199999999996</c:v>
                </c:pt>
                <c:pt idx="12">
                  <c:v>1923.4480000000001</c:v>
                </c:pt>
                <c:pt idx="13">
                  <c:v>1614.4059999999999</c:v>
                </c:pt>
              </c:numCache>
            </c:numRef>
          </c:val>
        </c:ser>
        <c:ser>
          <c:idx val="1"/>
          <c:order val="1"/>
          <c:tx>
            <c:strRef>
              <c:f>'Section 5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country'!$Q$7:$Q$20</c:f>
                <c:numCache>
                  <c:formatCode>General</c:formatCode>
                  <c:ptCount val="14"/>
                  <c:pt idx="0">
                    <c:v>249.82439300000001</c:v>
                  </c:pt>
                  <c:pt idx="1">
                    <c:v>255.71308879999998</c:v>
                  </c:pt>
                  <c:pt idx="2">
                    <c:v>199.02061999999998</c:v>
                  </c:pt>
                  <c:pt idx="3">
                    <c:v>197.52308219999998</c:v>
                  </c:pt>
                  <c:pt idx="4">
                    <c:v>66.022678499999998</c:v>
                  </c:pt>
                  <c:pt idx="5">
                    <c:v>95.692146300000005</c:v>
                  </c:pt>
                  <c:pt idx="6">
                    <c:v>164.26780500000001</c:v>
                  </c:pt>
                  <c:pt idx="7">
                    <c:v>88.419660999999991</c:v>
                  </c:pt>
                  <c:pt idx="8">
                    <c:v>360.05752949999993</c:v>
                  </c:pt>
                  <c:pt idx="9">
                    <c:v>185.79354920000003</c:v>
                  </c:pt>
                  <c:pt idx="10">
                    <c:v>220.60705920000001</c:v>
                  </c:pt>
                  <c:pt idx="11">
                    <c:v>303.96187800000001</c:v>
                  </c:pt>
                  <c:pt idx="12">
                    <c:v>430.86010499999998</c:v>
                  </c:pt>
                  <c:pt idx="13">
                    <c:v>210.01749860000001</c:v>
                  </c:pt>
                </c:numCache>
              </c:numRef>
            </c:plus>
            <c:minus>
              <c:numRef>
                <c:f>'Section 5 data country'!$Q$7:$Q$20</c:f>
                <c:numCache>
                  <c:formatCode>General</c:formatCode>
                  <c:ptCount val="14"/>
                  <c:pt idx="0">
                    <c:v>249.82439300000001</c:v>
                  </c:pt>
                  <c:pt idx="1">
                    <c:v>255.71308879999998</c:v>
                  </c:pt>
                  <c:pt idx="2">
                    <c:v>199.02061999999998</c:v>
                  </c:pt>
                  <c:pt idx="3">
                    <c:v>197.52308219999998</c:v>
                  </c:pt>
                  <c:pt idx="4">
                    <c:v>66.022678499999998</c:v>
                  </c:pt>
                  <c:pt idx="5">
                    <c:v>95.692146300000005</c:v>
                  </c:pt>
                  <c:pt idx="6">
                    <c:v>164.26780500000001</c:v>
                  </c:pt>
                  <c:pt idx="7">
                    <c:v>88.419660999999991</c:v>
                  </c:pt>
                  <c:pt idx="8">
                    <c:v>360.05752949999993</c:v>
                  </c:pt>
                  <c:pt idx="9">
                    <c:v>185.79354920000003</c:v>
                  </c:pt>
                  <c:pt idx="10">
                    <c:v>220.60705920000001</c:v>
                  </c:pt>
                  <c:pt idx="11">
                    <c:v>303.96187800000001</c:v>
                  </c:pt>
                  <c:pt idx="12">
                    <c:v>430.86010499999998</c:v>
                  </c:pt>
                  <c:pt idx="13">
                    <c:v>210.01749860000001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country'!$H$7:$H$20</c:f>
              <c:numCache>
                <c:formatCode>#,##0</c:formatCode>
                <c:ptCount val="14"/>
                <c:pt idx="0">
                  <c:v>3641.7550000000001</c:v>
                </c:pt>
                <c:pt idx="1">
                  <c:v>3782.7379999999998</c:v>
                </c:pt>
                <c:pt idx="2">
                  <c:v>2568.0079999999998</c:v>
                </c:pt>
                <c:pt idx="3">
                  <c:v>1520.578</c:v>
                </c:pt>
                <c:pt idx="4">
                  <c:v>367.40499999999997</c:v>
                </c:pt>
                <c:pt idx="5">
                  <c:v>555.38099999999997</c:v>
                </c:pt>
                <c:pt idx="6">
                  <c:v>1684.798</c:v>
                </c:pt>
                <c:pt idx="7">
                  <c:v>730.74099999999999</c:v>
                </c:pt>
                <c:pt idx="8">
                  <c:v>5107.1989999999996</c:v>
                </c:pt>
                <c:pt idx="9">
                  <c:v>2884.9929999999999</c:v>
                </c:pt>
                <c:pt idx="10">
                  <c:v>3133.623</c:v>
                </c:pt>
                <c:pt idx="11">
                  <c:v>3794.78</c:v>
                </c:pt>
                <c:pt idx="12">
                  <c:v>4952.415</c:v>
                </c:pt>
                <c:pt idx="13">
                  <c:v>3639.8180000000002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815168"/>
        <c:axId val="135816704"/>
      </c:barChart>
      <c:catAx>
        <c:axId val="135815168"/>
        <c:scaling>
          <c:orientation val="maxMin"/>
        </c:scaling>
        <c:delete val="0"/>
        <c:axPos val="l"/>
        <c:majorTickMark val="out"/>
        <c:minorTickMark val="none"/>
        <c:tickLblPos val="nextTo"/>
        <c:crossAx val="135816704"/>
        <c:crosses val="autoZero"/>
        <c:auto val="1"/>
        <c:lblAlgn val="ctr"/>
        <c:lblOffset val="100"/>
        <c:tickLblSkip val="1"/>
        <c:noMultiLvlLbl val="0"/>
      </c:catAx>
      <c:valAx>
        <c:axId val="135816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5815168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Biomass stocks in all broadleaves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country'!$K$7:$K$20</c:f>
              <c:numCache>
                <c:formatCode>#,##0</c:formatCode>
                <c:ptCount val="14"/>
                <c:pt idx="0">
                  <c:v>326.517</c:v>
                </c:pt>
                <c:pt idx="1">
                  <c:v>271.06099999999998</c:v>
                </c:pt>
                <c:pt idx="2">
                  <c:v>498.42</c:v>
                </c:pt>
                <c:pt idx="3">
                  <c:v>202.94200000000001</c:v>
                </c:pt>
                <c:pt idx="4">
                  <c:v>47.807000000000002</c:v>
                </c:pt>
                <c:pt idx="5">
                  <c:v>53.527999999999999</c:v>
                </c:pt>
                <c:pt idx="6">
                  <c:v>340.40199999999999</c:v>
                </c:pt>
                <c:pt idx="7">
                  <c:v>739.84299999999996</c:v>
                </c:pt>
                <c:pt idx="8">
                  <c:v>120.384</c:v>
                </c:pt>
                <c:pt idx="9">
                  <c:v>3231.15</c:v>
                </c:pt>
                <c:pt idx="10">
                  <c:v>205.58099999999999</c:v>
                </c:pt>
                <c:pt idx="11">
                  <c:v>713.59900000000005</c:v>
                </c:pt>
                <c:pt idx="12">
                  <c:v>1022.853</c:v>
                </c:pt>
                <c:pt idx="13">
                  <c:v>311.26900000000001</c:v>
                </c:pt>
              </c:numCache>
            </c:numRef>
          </c:val>
        </c:ser>
        <c:ser>
          <c:idx val="1"/>
          <c:order val="1"/>
          <c:tx>
            <c:strRef>
              <c:f>'Section 5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country'!$R$7:$R$20</c:f>
                <c:numCache>
                  <c:formatCode>General</c:formatCode>
                  <c:ptCount val="14"/>
                  <c:pt idx="0">
                    <c:v>388.82093880000002</c:v>
                  </c:pt>
                  <c:pt idx="1">
                    <c:v>792.30576549999978</c:v>
                  </c:pt>
                  <c:pt idx="2">
                    <c:v>621.37503890000005</c:v>
                  </c:pt>
                  <c:pt idx="3">
                    <c:v>428.67376889999997</c:v>
                  </c:pt>
                  <c:pt idx="4">
                    <c:v>447.67016940000002</c:v>
                  </c:pt>
                  <c:pt idx="5">
                    <c:v>628.85158560000002</c:v>
                  </c:pt>
                  <c:pt idx="6">
                    <c:v>672.24878369999988</c:v>
                  </c:pt>
                  <c:pt idx="7">
                    <c:v>365.64676680000002</c:v>
                  </c:pt>
                  <c:pt idx="8">
                    <c:v>362.75571940000003</c:v>
                  </c:pt>
                  <c:pt idx="9">
                    <c:v>528.90830849999998</c:v>
                  </c:pt>
                  <c:pt idx="10">
                    <c:v>494.89740369999993</c:v>
                  </c:pt>
                  <c:pt idx="11">
                    <c:v>669.13183260000005</c:v>
                  </c:pt>
                  <c:pt idx="12">
                    <c:v>867.50174000000004</c:v>
                  </c:pt>
                  <c:pt idx="13">
                    <c:v>416.19712019999997</c:v>
                  </c:pt>
                </c:numCache>
              </c:numRef>
            </c:plus>
            <c:minus>
              <c:numRef>
                <c:f>'Section 5 data country'!$R$7:$R$20</c:f>
                <c:numCache>
                  <c:formatCode>General</c:formatCode>
                  <c:ptCount val="14"/>
                  <c:pt idx="0">
                    <c:v>388.82093880000002</c:v>
                  </c:pt>
                  <c:pt idx="1">
                    <c:v>792.30576549999978</c:v>
                  </c:pt>
                  <c:pt idx="2">
                    <c:v>621.37503890000005</c:v>
                  </c:pt>
                  <c:pt idx="3">
                    <c:v>428.67376889999997</c:v>
                  </c:pt>
                  <c:pt idx="4">
                    <c:v>447.67016940000002</c:v>
                  </c:pt>
                  <c:pt idx="5">
                    <c:v>628.85158560000002</c:v>
                  </c:pt>
                  <c:pt idx="6">
                    <c:v>672.24878369999988</c:v>
                  </c:pt>
                  <c:pt idx="7">
                    <c:v>365.64676680000002</c:v>
                  </c:pt>
                  <c:pt idx="8">
                    <c:v>362.75571940000003</c:v>
                  </c:pt>
                  <c:pt idx="9">
                    <c:v>528.90830849999998</c:v>
                  </c:pt>
                  <c:pt idx="10">
                    <c:v>494.89740369999993</c:v>
                  </c:pt>
                  <c:pt idx="11">
                    <c:v>669.13183260000005</c:v>
                  </c:pt>
                  <c:pt idx="12">
                    <c:v>867.50174000000004</c:v>
                  </c:pt>
                  <c:pt idx="13">
                    <c:v>416.19712019999997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country'!$L$7:$L$20</c:f>
              <c:numCache>
                <c:formatCode>#,##0</c:formatCode>
                <c:ptCount val="14"/>
                <c:pt idx="0">
                  <c:v>6612.6009999999997</c:v>
                </c:pt>
                <c:pt idx="1">
                  <c:v>15034.264999999999</c:v>
                </c:pt>
                <c:pt idx="2">
                  <c:v>13136.893</c:v>
                </c:pt>
                <c:pt idx="3">
                  <c:v>5049.1610000000001</c:v>
                </c:pt>
                <c:pt idx="4">
                  <c:v>3491.9670000000001</c:v>
                </c:pt>
                <c:pt idx="5">
                  <c:v>4721.1080000000002</c:v>
                </c:pt>
                <c:pt idx="6">
                  <c:v>14645.942999999999</c:v>
                </c:pt>
                <c:pt idx="7">
                  <c:v>5465.5720000000001</c:v>
                </c:pt>
                <c:pt idx="8">
                  <c:v>5087.7380000000003</c:v>
                </c:pt>
                <c:pt idx="9">
                  <c:v>15602.014999999999</c:v>
                </c:pt>
                <c:pt idx="10">
                  <c:v>13785.442999999999</c:v>
                </c:pt>
                <c:pt idx="11">
                  <c:v>14483.373</c:v>
                </c:pt>
                <c:pt idx="12">
                  <c:v>17776.674999999999</c:v>
                </c:pt>
                <c:pt idx="13">
                  <c:v>9862.491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951872"/>
        <c:axId val="159961856"/>
      </c:barChart>
      <c:catAx>
        <c:axId val="159951872"/>
        <c:scaling>
          <c:orientation val="maxMin"/>
        </c:scaling>
        <c:delete val="0"/>
        <c:axPos val="l"/>
        <c:majorTickMark val="out"/>
        <c:minorTickMark val="none"/>
        <c:tickLblPos val="nextTo"/>
        <c:crossAx val="159961856"/>
        <c:crosses val="autoZero"/>
        <c:auto val="1"/>
        <c:lblAlgn val="ctr"/>
        <c:lblOffset val="100"/>
        <c:tickLblSkip val="1"/>
        <c:noMultiLvlLbl val="0"/>
      </c:catAx>
      <c:valAx>
        <c:axId val="159961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9951872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country'!$K$7:$K$20</c:f>
              <c:numCache>
                <c:formatCode>#,##0</c:formatCode>
                <c:ptCount val="14"/>
                <c:pt idx="0">
                  <c:v>326.517</c:v>
                </c:pt>
                <c:pt idx="1">
                  <c:v>271.06099999999998</c:v>
                </c:pt>
                <c:pt idx="2">
                  <c:v>498.42</c:v>
                </c:pt>
                <c:pt idx="3">
                  <c:v>202.94200000000001</c:v>
                </c:pt>
                <c:pt idx="4">
                  <c:v>47.807000000000002</c:v>
                </c:pt>
                <c:pt idx="5">
                  <c:v>53.527999999999999</c:v>
                </c:pt>
                <c:pt idx="6">
                  <c:v>340.40199999999999</c:v>
                </c:pt>
                <c:pt idx="7">
                  <c:v>739.84299999999996</c:v>
                </c:pt>
                <c:pt idx="8">
                  <c:v>120.384</c:v>
                </c:pt>
                <c:pt idx="9">
                  <c:v>3231.15</c:v>
                </c:pt>
                <c:pt idx="10">
                  <c:v>205.58099999999999</c:v>
                </c:pt>
                <c:pt idx="11">
                  <c:v>713.59900000000005</c:v>
                </c:pt>
                <c:pt idx="12">
                  <c:v>1022.853</c:v>
                </c:pt>
                <c:pt idx="13">
                  <c:v>311.26900000000001</c:v>
                </c:pt>
              </c:numCache>
            </c:numRef>
          </c:val>
        </c:ser>
        <c:ser>
          <c:idx val="1"/>
          <c:order val="1"/>
          <c:tx>
            <c:strRef>
              <c:f>'Section 5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country'!$R$7:$R$20</c:f>
                <c:numCache>
                  <c:formatCode>General</c:formatCode>
                  <c:ptCount val="14"/>
                  <c:pt idx="0">
                    <c:v>388.82093880000002</c:v>
                  </c:pt>
                  <c:pt idx="1">
                    <c:v>792.30576549999978</c:v>
                  </c:pt>
                  <c:pt idx="2">
                    <c:v>621.37503890000005</c:v>
                  </c:pt>
                  <c:pt idx="3">
                    <c:v>428.67376889999997</c:v>
                  </c:pt>
                  <c:pt idx="4">
                    <c:v>447.67016940000002</c:v>
                  </c:pt>
                  <c:pt idx="5">
                    <c:v>628.85158560000002</c:v>
                  </c:pt>
                  <c:pt idx="6">
                    <c:v>672.24878369999988</c:v>
                  </c:pt>
                  <c:pt idx="7">
                    <c:v>365.64676680000002</c:v>
                  </c:pt>
                  <c:pt idx="8">
                    <c:v>362.75571940000003</c:v>
                  </c:pt>
                  <c:pt idx="9">
                    <c:v>528.90830849999998</c:v>
                  </c:pt>
                  <c:pt idx="10">
                    <c:v>494.89740369999993</c:v>
                  </c:pt>
                  <c:pt idx="11">
                    <c:v>669.13183260000005</c:v>
                  </c:pt>
                  <c:pt idx="12">
                    <c:v>867.50174000000004</c:v>
                  </c:pt>
                  <c:pt idx="13">
                    <c:v>416.19712019999997</c:v>
                  </c:pt>
                </c:numCache>
              </c:numRef>
            </c:plus>
            <c:minus>
              <c:numRef>
                <c:f>'Section 5 data country'!$R$7:$R$20</c:f>
                <c:numCache>
                  <c:formatCode>General</c:formatCode>
                  <c:ptCount val="14"/>
                  <c:pt idx="0">
                    <c:v>388.82093880000002</c:v>
                  </c:pt>
                  <c:pt idx="1">
                    <c:v>792.30576549999978</c:v>
                  </c:pt>
                  <c:pt idx="2">
                    <c:v>621.37503890000005</c:v>
                  </c:pt>
                  <c:pt idx="3">
                    <c:v>428.67376889999997</c:v>
                  </c:pt>
                  <c:pt idx="4">
                    <c:v>447.67016940000002</c:v>
                  </c:pt>
                  <c:pt idx="5">
                    <c:v>628.85158560000002</c:v>
                  </c:pt>
                  <c:pt idx="6">
                    <c:v>672.24878369999988</c:v>
                  </c:pt>
                  <c:pt idx="7">
                    <c:v>365.64676680000002</c:v>
                  </c:pt>
                  <c:pt idx="8">
                    <c:v>362.75571940000003</c:v>
                  </c:pt>
                  <c:pt idx="9">
                    <c:v>528.90830849999998</c:v>
                  </c:pt>
                  <c:pt idx="10">
                    <c:v>494.89740369999993</c:v>
                  </c:pt>
                  <c:pt idx="11">
                    <c:v>669.13183260000005</c:v>
                  </c:pt>
                  <c:pt idx="12">
                    <c:v>867.50174000000004</c:v>
                  </c:pt>
                  <c:pt idx="13">
                    <c:v>416.19712019999997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country'!$L$7:$L$20</c:f>
              <c:numCache>
                <c:formatCode>#,##0</c:formatCode>
                <c:ptCount val="14"/>
                <c:pt idx="0">
                  <c:v>6612.6009999999997</c:v>
                </c:pt>
                <c:pt idx="1">
                  <c:v>15034.264999999999</c:v>
                </c:pt>
                <c:pt idx="2">
                  <c:v>13136.893</c:v>
                </c:pt>
                <c:pt idx="3">
                  <c:v>5049.1610000000001</c:v>
                </c:pt>
                <c:pt idx="4">
                  <c:v>3491.9670000000001</c:v>
                </c:pt>
                <c:pt idx="5">
                  <c:v>4721.1080000000002</c:v>
                </c:pt>
                <c:pt idx="6">
                  <c:v>14645.942999999999</c:v>
                </c:pt>
                <c:pt idx="7">
                  <c:v>5465.5720000000001</c:v>
                </c:pt>
                <c:pt idx="8">
                  <c:v>5087.7380000000003</c:v>
                </c:pt>
                <c:pt idx="9">
                  <c:v>15602.014999999999</c:v>
                </c:pt>
                <c:pt idx="10">
                  <c:v>13785.442999999999</c:v>
                </c:pt>
                <c:pt idx="11">
                  <c:v>14483.373</c:v>
                </c:pt>
                <c:pt idx="12">
                  <c:v>17776.674999999999</c:v>
                </c:pt>
                <c:pt idx="13">
                  <c:v>9862.491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037504"/>
        <c:axId val="160043392"/>
      </c:barChart>
      <c:catAx>
        <c:axId val="160037504"/>
        <c:scaling>
          <c:orientation val="maxMin"/>
        </c:scaling>
        <c:delete val="0"/>
        <c:axPos val="l"/>
        <c:majorTickMark val="out"/>
        <c:minorTickMark val="none"/>
        <c:tickLblPos val="nextTo"/>
        <c:crossAx val="160043392"/>
        <c:crosses val="autoZero"/>
        <c:auto val="1"/>
        <c:lblAlgn val="ctr"/>
        <c:lblOffset val="100"/>
        <c:tickLblSkip val="1"/>
        <c:noMultiLvlLbl val="0"/>
      </c:catAx>
      <c:valAx>
        <c:axId val="160043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60037504"/>
        <c:crosses val="max"/>
        <c:crossBetween val="between"/>
        <c:majorUnit val="4000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Biomass stocks in all species by aligned area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country'!$C$7:$C$20</c:f>
              <c:numCache>
                <c:formatCode>#,##0</c:formatCode>
                <c:ptCount val="14"/>
                <c:pt idx="0">
                  <c:v>2168.375</c:v>
                </c:pt>
                <c:pt idx="1">
                  <c:v>1433.021</c:v>
                </c:pt>
                <c:pt idx="2">
                  <c:v>2672.1619999999998</c:v>
                </c:pt>
                <c:pt idx="3">
                  <c:v>883.44100000000003</c:v>
                </c:pt>
                <c:pt idx="4">
                  <c:v>127.85899999999999</c:v>
                </c:pt>
                <c:pt idx="5">
                  <c:v>84.76</c:v>
                </c:pt>
                <c:pt idx="6">
                  <c:v>684.46400000000006</c:v>
                </c:pt>
                <c:pt idx="7">
                  <c:v>1182.7539999999999</c:v>
                </c:pt>
                <c:pt idx="8">
                  <c:v>4681.8069999999998</c:v>
                </c:pt>
                <c:pt idx="9">
                  <c:v>4605.9610000000002</c:v>
                </c:pt>
                <c:pt idx="10">
                  <c:v>373.84300000000002</c:v>
                </c:pt>
                <c:pt idx="11">
                  <c:v>1609.3409999999999</c:v>
                </c:pt>
                <c:pt idx="12">
                  <c:v>2946.3009999999999</c:v>
                </c:pt>
                <c:pt idx="13">
                  <c:v>1925.675</c:v>
                </c:pt>
              </c:numCache>
            </c:numRef>
          </c:val>
        </c:ser>
        <c:ser>
          <c:idx val="1"/>
          <c:order val="1"/>
          <c:tx>
            <c:strRef>
              <c:f>'Section 5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country'!$P$7:$P$20</c:f>
                <c:numCache>
                  <c:formatCode>General</c:formatCode>
                  <c:ptCount val="14"/>
                  <c:pt idx="0">
                    <c:v>438.21596629999993</c:v>
                  </c:pt>
                  <c:pt idx="1">
                    <c:v>826.82572609999988</c:v>
                  </c:pt>
                  <c:pt idx="2">
                    <c:v>625.24406999999997</c:v>
                  </c:pt>
                  <c:pt idx="3">
                    <c:v>437.54455080000002</c:v>
                  </c:pt>
                  <c:pt idx="4">
                    <c:v>447.68715199999997</c:v>
                  </c:pt>
                  <c:pt idx="5">
                    <c:v>634.2340979999999</c:v>
                  </c:pt>
                  <c:pt idx="6">
                    <c:v>676.26051299999995</c:v>
                  </c:pt>
                  <c:pt idx="7">
                    <c:v>362.37509519999998</c:v>
                  </c:pt>
                  <c:pt idx="8">
                    <c:v>491.9969210000001</c:v>
                  </c:pt>
                  <c:pt idx="9">
                    <c:v>545.75206500000002</c:v>
                  </c:pt>
                  <c:pt idx="10">
                    <c:v>518.81431229999998</c:v>
                  </c:pt>
                  <c:pt idx="11">
                    <c:v>715.22179679999999</c:v>
                  </c:pt>
                  <c:pt idx="12">
                    <c:v>954.35147010000003</c:v>
                  </c:pt>
                  <c:pt idx="13">
                    <c:v>441.44846310000003</c:v>
                  </c:pt>
                </c:numCache>
              </c:numRef>
            </c:plus>
            <c:minus>
              <c:numRef>
                <c:f>'Section 5 data country'!$P$7:$P$20</c:f>
                <c:numCache>
                  <c:formatCode>General</c:formatCode>
                  <c:ptCount val="14"/>
                  <c:pt idx="0">
                    <c:v>438.21596629999993</c:v>
                  </c:pt>
                  <c:pt idx="1">
                    <c:v>826.82572609999988</c:v>
                  </c:pt>
                  <c:pt idx="2">
                    <c:v>625.24406999999997</c:v>
                  </c:pt>
                  <c:pt idx="3">
                    <c:v>437.54455080000002</c:v>
                  </c:pt>
                  <c:pt idx="4">
                    <c:v>447.68715199999997</c:v>
                  </c:pt>
                  <c:pt idx="5">
                    <c:v>634.2340979999999</c:v>
                  </c:pt>
                  <c:pt idx="6">
                    <c:v>676.26051299999995</c:v>
                  </c:pt>
                  <c:pt idx="7">
                    <c:v>362.37509519999998</c:v>
                  </c:pt>
                  <c:pt idx="8">
                    <c:v>491.9969210000001</c:v>
                  </c:pt>
                  <c:pt idx="9">
                    <c:v>545.75206500000002</c:v>
                  </c:pt>
                  <c:pt idx="10">
                    <c:v>518.81431229999998</c:v>
                  </c:pt>
                  <c:pt idx="11">
                    <c:v>715.22179679999999</c:v>
                  </c:pt>
                  <c:pt idx="12">
                    <c:v>954.35147010000003</c:v>
                  </c:pt>
                  <c:pt idx="13">
                    <c:v>441.44846310000003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country'!$D$7:$D$20</c:f>
              <c:numCache>
                <c:formatCode>#,##0</c:formatCode>
                <c:ptCount val="14"/>
                <c:pt idx="0">
                  <c:v>10262.669</c:v>
                </c:pt>
                <c:pt idx="1">
                  <c:v>18834.298999999999</c:v>
                </c:pt>
                <c:pt idx="2">
                  <c:v>15709.65</c:v>
                </c:pt>
                <c:pt idx="3">
                  <c:v>6569.7380000000003</c:v>
                </c:pt>
                <c:pt idx="4">
                  <c:v>3859.3719999999998</c:v>
                </c:pt>
                <c:pt idx="5">
                  <c:v>5276.49</c:v>
                </c:pt>
                <c:pt idx="6">
                  <c:v>16334.795</c:v>
                </c:pt>
                <c:pt idx="7">
                  <c:v>6205.0529999999999</c:v>
                </c:pt>
                <c:pt idx="8">
                  <c:v>10207.405000000001</c:v>
                </c:pt>
                <c:pt idx="9">
                  <c:v>18500.07</c:v>
                </c:pt>
                <c:pt idx="10">
                  <c:v>16899.489000000001</c:v>
                </c:pt>
                <c:pt idx="11">
                  <c:v>18245.454000000002</c:v>
                </c:pt>
                <c:pt idx="12">
                  <c:v>22668.681</c:v>
                </c:pt>
                <c:pt idx="13">
                  <c:v>13499.953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2074880"/>
        <c:axId val="172076416"/>
      </c:barChart>
      <c:catAx>
        <c:axId val="172074880"/>
        <c:scaling>
          <c:orientation val="maxMin"/>
        </c:scaling>
        <c:delete val="0"/>
        <c:axPos val="l"/>
        <c:majorTickMark val="out"/>
        <c:minorTickMark val="none"/>
        <c:tickLblPos val="nextTo"/>
        <c:crossAx val="172076416"/>
        <c:crosses val="autoZero"/>
        <c:auto val="1"/>
        <c:lblAlgn val="ctr"/>
        <c:lblOffset val="100"/>
        <c:tickLblSkip val="1"/>
        <c:noMultiLvlLbl val="0"/>
      </c:catAx>
      <c:valAx>
        <c:axId val="172076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Biomass (000 odt)</a:t>
                </a:r>
                <a:endParaRPr lang="en-GB">
                  <a:effectLst/>
                </a:endParaRP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72074880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5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country'!$C$7:$C$20</c:f>
              <c:numCache>
                <c:formatCode>#,##0</c:formatCode>
                <c:ptCount val="14"/>
                <c:pt idx="0">
                  <c:v>2168.375</c:v>
                </c:pt>
                <c:pt idx="1">
                  <c:v>1433.021</c:v>
                </c:pt>
                <c:pt idx="2">
                  <c:v>2672.1619999999998</c:v>
                </c:pt>
                <c:pt idx="3">
                  <c:v>883.44100000000003</c:v>
                </c:pt>
                <c:pt idx="4">
                  <c:v>127.85899999999999</c:v>
                </c:pt>
                <c:pt idx="5">
                  <c:v>84.76</c:v>
                </c:pt>
                <c:pt idx="6">
                  <c:v>684.46400000000006</c:v>
                </c:pt>
                <c:pt idx="7">
                  <c:v>1182.7539999999999</c:v>
                </c:pt>
                <c:pt idx="8">
                  <c:v>4681.8069999999998</c:v>
                </c:pt>
                <c:pt idx="9">
                  <c:v>4605.9610000000002</c:v>
                </c:pt>
                <c:pt idx="10">
                  <c:v>373.84300000000002</c:v>
                </c:pt>
                <c:pt idx="11">
                  <c:v>1609.3409999999999</c:v>
                </c:pt>
                <c:pt idx="12">
                  <c:v>2946.3009999999999</c:v>
                </c:pt>
                <c:pt idx="13">
                  <c:v>1925.675</c:v>
                </c:pt>
              </c:numCache>
            </c:numRef>
          </c:val>
        </c:ser>
        <c:ser>
          <c:idx val="1"/>
          <c:order val="1"/>
          <c:tx>
            <c:strRef>
              <c:f>'Section 5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5 data country'!$P$7:$P$20</c:f>
                <c:numCache>
                  <c:formatCode>General</c:formatCode>
                  <c:ptCount val="14"/>
                  <c:pt idx="0">
                    <c:v>438.21596629999993</c:v>
                  </c:pt>
                  <c:pt idx="1">
                    <c:v>826.82572609999988</c:v>
                  </c:pt>
                  <c:pt idx="2">
                    <c:v>625.24406999999997</c:v>
                  </c:pt>
                  <c:pt idx="3">
                    <c:v>437.54455080000002</c:v>
                  </c:pt>
                  <c:pt idx="4">
                    <c:v>447.68715199999997</c:v>
                  </c:pt>
                  <c:pt idx="5">
                    <c:v>634.2340979999999</c:v>
                  </c:pt>
                  <c:pt idx="6">
                    <c:v>676.26051299999995</c:v>
                  </c:pt>
                  <c:pt idx="7">
                    <c:v>362.37509519999998</c:v>
                  </c:pt>
                  <c:pt idx="8">
                    <c:v>491.9969210000001</c:v>
                  </c:pt>
                  <c:pt idx="9">
                    <c:v>545.75206500000002</c:v>
                  </c:pt>
                  <c:pt idx="10">
                    <c:v>518.81431229999998</c:v>
                  </c:pt>
                  <c:pt idx="11">
                    <c:v>715.22179679999999</c:v>
                  </c:pt>
                  <c:pt idx="12">
                    <c:v>954.35147010000003</c:v>
                  </c:pt>
                  <c:pt idx="13">
                    <c:v>441.44846310000003</c:v>
                  </c:pt>
                </c:numCache>
              </c:numRef>
            </c:plus>
            <c:minus>
              <c:numRef>
                <c:f>'Section 5 data country'!$P$7:$P$20</c:f>
                <c:numCache>
                  <c:formatCode>General</c:formatCode>
                  <c:ptCount val="14"/>
                  <c:pt idx="0">
                    <c:v>438.21596629999993</c:v>
                  </c:pt>
                  <c:pt idx="1">
                    <c:v>826.82572609999988</c:v>
                  </c:pt>
                  <c:pt idx="2">
                    <c:v>625.24406999999997</c:v>
                  </c:pt>
                  <c:pt idx="3">
                    <c:v>437.54455080000002</c:v>
                  </c:pt>
                  <c:pt idx="4">
                    <c:v>447.68715199999997</c:v>
                  </c:pt>
                  <c:pt idx="5">
                    <c:v>634.2340979999999</c:v>
                  </c:pt>
                  <c:pt idx="6">
                    <c:v>676.26051299999995</c:v>
                  </c:pt>
                  <c:pt idx="7">
                    <c:v>362.37509519999998</c:v>
                  </c:pt>
                  <c:pt idx="8">
                    <c:v>491.9969210000001</c:v>
                  </c:pt>
                  <c:pt idx="9">
                    <c:v>545.75206500000002</c:v>
                  </c:pt>
                  <c:pt idx="10">
                    <c:v>518.81431229999998</c:v>
                  </c:pt>
                  <c:pt idx="11">
                    <c:v>715.22179679999999</c:v>
                  </c:pt>
                  <c:pt idx="12">
                    <c:v>954.35147010000003</c:v>
                  </c:pt>
                  <c:pt idx="13">
                    <c:v>441.44846310000003</c:v>
                  </c:pt>
                </c:numCache>
              </c:numRef>
            </c:minus>
          </c:errBars>
          <c:cat>
            <c:strRef>
              <c:f>'Section 5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5 data country'!$D$7:$D$20</c:f>
              <c:numCache>
                <c:formatCode>#,##0</c:formatCode>
                <c:ptCount val="14"/>
                <c:pt idx="0">
                  <c:v>10262.669</c:v>
                </c:pt>
                <c:pt idx="1">
                  <c:v>18834.298999999999</c:v>
                </c:pt>
                <c:pt idx="2">
                  <c:v>15709.65</c:v>
                </c:pt>
                <c:pt idx="3">
                  <c:v>6569.7380000000003</c:v>
                </c:pt>
                <c:pt idx="4">
                  <c:v>3859.3719999999998</c:v>
                </c:pt>
                <c:pt idx="5">
                  <c:v>5276.49</c:v>
                </c:pt>
                <c:pt idx="6">
                  <c:v>16334.795</c:v>
                </c:pt>
                <c:pt idx="7">
                  <c:v>6205.0529999999999</c:v>
                </c:pt>
                <c:pt idx="8">
                  <c:v>10207.405000000001</c:v>
                </c:pt>
                <c:pt idx="9">
                  <c:v>18500.07</c:v>
                </c:pt>
                <c:pt idx="10">
                  <c:v>16899.489000000001</c:v>
                </c:pt>
                <c:pt idx="11">
                  <c:v>18245.454000000002</c:v>
                </c:pt>
                <c:pt idx="12">
                  <c:v>22668.681</c:v>
                </c:pt>
                <c:pt idx="13">
                  <c:v>13499.953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2099072"/>
        <c:axId val="172100608"/>
      </c:barChart>
      <c:catAx>
        <c:axId val="172099072"/>
        <c:scaling>
          <c:orientation val="maxMin"/>
        </c:scaling>
        <c:delete val="0"/>
        <c:axPos val="l"/>
        <c:majorTickMark val="out"/>
        <c:minorTickMark val="none"/>
        <c:tickLblPos val="nextTo"/>
        <c:crossAx val="172100608"/>
        <c:crosses val="autoZero"/>
        <c:auto val="1"/>
        <c:lblAlgn val="ctr"/>
        <c:lblOffset val="100"/>
        <c:tickLblSkip val="1"/>
        <c:noMultiLvlLbl val="0"/>
      </c:catAx>
      <c:valAx>
        <c:axId val="172100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  <a:endParaRPr lang="en-GB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72099072"/>
        <c:crosses val="max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Carbon stocks by principal tree species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6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6 data'!$H$8:$H$26</c:f>
              <c:numCache>
                <c:formatCode>#,##0</c:formatCode>
                <c:ptCount val="19"/>
                <c:pt idx="0">
                  <c:v>6340.616</c:v>
                </c:pt>
                <c:pt idx="1">
                  <c:v>6404.1390000000001</c:v>
                </c:pt>
                <c:pt idx="2">
                  <c:v>3011.6080000000002</c:v>
                </c:pt>
                <c:pt idx="3">
                  <c:v>2292.0540000000001</c:v>
                </c:pt>
                <c:pt idx="4">
                  <c:v>3710.1369999999997</c:v>
                </c:pt>
                <c:pt idx="5">
                  <c:v>2929.0860000000002</c:v>
                </c:pt>
                <c:pt idx="6">
                  <c:v>659.59799999999996</c:v>
                </c:pt>
                <c:pt idx="7">
                  <c:v>2466.556</c:v>
                </c:pt>
                <c:pt idx="8">
                  <c:v>22936.075000000001</c:v>
                </c:pt>
                <c:pt idx="9">
                  <c:v>9361.8040000000001</c:v>
                </c:pt>
                <c:pt idx="10">
                  <c:v>6790.1730000000007</c:v>
                </c:pt>
                <c:pt idx="11">
                  <c:v>12276.871000000001</c:v>
                </c:pt>
                <c:pt idx="12">
                  <c:v>5589.1220000000003</c:v>
                </c:pt>
                <c:pt idx="13">
                  <c:v>3136.2220000000002</c:v>
                </c:pt>
                <c:pt idx="14">
                  <c:v>2343.1089999999999</c:v>
                </c:pt>
                <c:pt idx="15">
                  <c:v>1604.1849999999999</c:v>
                </c:pt>
                <c:pt idx="16">
                  <c:v>2643.7130000000002</c:v>
                </c:pt>
                <c:pt idx="17">
                  <c:v>2461.5889999999999</c:v>
                </c:pt>
                <c:pt idx="18">
                  <c:v>7285.3729999999996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390336"/>
        <c:axId val="135388160"/>
      </c:barChart>
      <c:valAx>
        <c:axId val="135388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35390336"/>
        <c:crosses val="max"/>
        <c:crossBetween val="between"/>
      </c:valAx>
      <c:catAx>
        <c:axId val="135390336"/>
        <c:scaling>
          <c:orientation val="maxMin"/>
        </c:scaling>
        <c:delete val="0"/>
        <c:axPos val="l"/>
        <c:majorTickMark val="out"/>
        <c:minorTickMark val="none"/>
        <c:tickLblPos val="nextTo"/>
        <c:crossAx val="1353881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'Eng Table 3'!$C$5:$D$5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3'!$B$7:$B$21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and Cornwall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Gtr Mancs Mersey and Ches</c:v>
                </c:pt>
                <c:pt idx="6">
                  <c:v>Herts and North London</c:v>
                </c:pt>
                <c:pt idx="7">
                  <c:v>Kent S London and E Sussex</c:v>
                </c:pt>
                <c:pt idx="8">
                  <c:v>Lincs and Northants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'Eng Table 3'!$D$7:$D$21</c:f>
              <c:numCache>
                <c:formatCode>0%</c:formatCode>
                <c:ptCount val="15"/>
                <c:pt idx="0">
                  <c:v>0.16523542309893685</c:v>
                </c:pt>
                <c:pt idx="1">
                  <c:v>0.23582820739554736</c:v>
                </c:pt>
                <c:pt idx="2">
                  <c:v>0.10216843163598525</c:v>
                </c:pt>
                <c:pt idx="3">
                  <c:v>0.18007357872357699</c:v>
                </c:pt>
                <c:pt idx="4">
                  <c:v>0.14621421914416413</c:v>
                </c:pt>
                <c:pt idx="5">
                  <c:v>4.6494265401180582E-2</c:v>
                </c:pt>
                <c:pt idx="6">
                  <c:v>2.3490839485632062E-2</c:v>
                </c:pt>
                <c:pt idx="7">
                  <c:v>6.2352953746390223E-2</c:v>
                </c:pt>
                <c:pt idx="8">
                  <c:v>0.21572889276592766</c:v>
                </c:pt>
                <c:pt idx="9">
                  <c:v>0.43322665260842108</c:v>
                </c:pt>
                <c:pt idx="10">
                  <c:v>0.1977707102575651</c:v>
                </c:pt>
                <c:pt idx="11">
                  <c:v>3.1732803317400672E-2</c:v>
                </c:pt>
                <c:pt idx="12">
                  <c:v>0.12135362899935712</c:v>
                </c:pt>
                <c:pt idx="13">
                  <c:v>0.15842607675477749</c:v>
                </c:pt>
                <c:pt idx="14">
                  <c:v>0.17455957837371672</c:v>
                </c:pt>
              </c:numCache>
            </c:numRef>
          </c:val>
        </c:ser>
        <c:ser>
          <c:idx val="1"/>
          <c:order val="1"/>
          <c:tx>
            <c:strRef>
              <c:f>'Eng Table 3'!$E$5:$F$5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'Eng Table 3'!$B$7:$B$21</c:f>
              <c:strCache>
                <c:ptCount val="15"/>
                <c:pt idx="0">
                  <c:v>England</c:v>
                </c:pt>
                <c:pt idx="1">
                  <c:v>Cumbria and Lancashire</c:v>
                </c:pt>
                <c:pt idx="2">
                  <c:v>Devon and Cornwall</c:v>
                </c:pt>
                <c:pt idx="3">
                  <c:v>East Anglia</c:v>
                </c:pt>
                <c:pt idx="4">
                  <c:v>East Midlands</c:v>
                </c:pt>
                <c:pt idx="5">
                  <c:v>Gtr Mancs Mersey and Ches</c:v>
                </c:pt>
                <c:pt idx="6">
                  <c:v>Herts and North London</c:v>
                </c:pt>
                <c:pt idx="7">
                  <c:v>Kent S London and E Sussex</c:v>
                </c:pt>
                <c:pt idx="8">
                  <c:v>Lincs and Northants</c:v>
                </c:pt>
                <c:pt idx="9">
                  <c:v>North East</c:v>
                </c:pt>
                <c:pt idx="10">
                  <c:v>Solent and South Downs</c:v>
                </c:pt>
                <c:pt idx="11">
                  <c:v>Thames</c:v>
                </c:pt>
                <c:pt idx="12">
                  <c:v>Wessex</c:v>
                </c:pt>
                <c:pt idx="13">
                  <c:v>West Midlands</c:v>
                </c:pt>
                <c:pt idx="14">
                  <c:v>Yorkshire</c:v>
                </c:pt>
              </c:strCache>
            </c:strRef>
          </c:cat>
          <c:val>
            <c:numRef>
              <c:f>'Eng Table 3'!$F$7:$F$21</c:f>
              <c:numCache>
                <c:formatCode>0%</c:formatCode>
                <c:ptCount val="15"/>
                <c:pt idx="0">
                  <c:v>0.83476457690106309</c:v>
                </c:pt>
                <c:pt idx="1">
                  <c:v>0.76417179260445267</c:v>
                </c:pt>
                <c:pt idx="2">
                  <c:v>0.89783156836401468</c:v>
                </c:pt>
                <c:pt idx="3">
                  <c:v>0.8199264212764229</c:v>
                </c:pt>
                <c:pt idx="4">
                  <c:v>0.8537857808558359</c:v>
                </c:pt>
                <c:pt idx="5">
                  <c:v>0.95350573459881938</c:v>
                </c:pt>
                <c:pt idx="6">
                  <c:v>0.97650916051436798</c:v>
                </c:pt>
                <c:pt idx="7">
                  <c:v>0.93764704625360973</c:v>
                </c:pt>
                <c:pt idx="8">
                  <c:v>0.78427110723407234</c:v>
                </c:pt>
                <c:pt idx="9">
                  <c:v>0.56677334739157892</c:v>
                </c:pt>
                <c:pt idx="10">
                  <c:v>0.8022292897424349</c:v>
                </c:pt>
                <c:pt idx="11">
                  <c:v>0.96826719668259942</c:v>
                </c:pt>
                <c:pt idx="12">
                  <c:v>0.8786463710006428</c:v>
                </c:pt>
                <c:pt idx="13">
                  <c:v>0.8415739232452224</c:v>
                </c:pt>
                <c:pt idx="14">
                  <c:v>0.82544042162628328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301312"/>
        <c:axId val="128303104"/>
      </c:barChart>
      <c:catAx>
        <c:axId val="1283013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28303104"/>
        <c:crosses val="autoZero"/>
        <c:auto val="1"/>
        <c:lblAlgn val="ctr"/>
        <c:lblOffset val="100"/>
        <c:noMultiLvlLbl val="0"/>
      </c:catAx>
      <c:valAx>
        <c:axId val="1283031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28301312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098543890936235"/>
          <c:w val="0.63771113409169256"/>
          <c:h val="0.77189602423053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6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6 data'!$H$8:$H$26</c:f>
              <c:numCache>
                <c:formatCode>#,##0</c:formatCode>
                <c:ptCount val="19"/>
                <c:pt idx="0">
                  <c:v>6340.616</c:v>
                </c:pt>
                <c:pt idx="1">
                  <c:v>6404.1390000000001</c:v>
                </c:pt>
                <c:pt idx="2">
                  <c:v>3011.6080000000002</c:v>
                </c:pt>
                <c:pt idx="3">
                  <c:v>2292.0540000000001</c:v>
                </c:pt>
                <c:pt idx="4">
                  <c:v>3710.1369999999997</c:v>
                </c:pt>
                <c:pt idx="5">
                  <c:v>2929.0860000000002</c:v>
                </c:pt>
                <c:pt idx="6">
                  <c:v>659.59799999999996</c:v>
                </c:pt>
                <c:pt idx="7">
                  <c:v>2466.556</c:v>
                </c:pt>
                <c:pt idx="8">
                  <c:v>22936.075000000001</c:v>
                </c:pt>
                <c:pt idx="9">
                  <c:v>9361.8040000000001</c:v>
                </c:pt>
                <c:pt idx="10">
                  <c:v>6790.1730000000007</c:v>
                </c:pt>
                <c:pt idx="11">
                  <c:v>12276.871000000001</c:v>
                </c:pt>
                <c:pt idx="12">
                  <c:v>5589.1220000000003</c:v>
                </c:pt>
                <c:pt idx="13">
                  <c:v>3136.2220000000002</c:v>
                </c:pt>
                <c:pt idx="14">
                  <c:v>2343.1089999999999</c:v>
                </c:pt>
                <c:pt idx="15">
                  <c:v>1604.1849999999999</c:v>
                </c:pt>
                <c:pt idx="16">
                  <c:v>2643.7130000000002</c:v>
                </c:pt>
                <c:pt idx="17">
                  <c:v>2461.5889999999999</c:v>
                </c:pt>
                <c:pt idx="18">
                  <c:v>7285.3729999999996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2148992"/>
        <c:axId val="172147072"/>
      </c:barChart>
      <c:valAx>
        <c:axId val="172147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2148992"/>
        <c:crosses val="max"/>
        <c:crossBetween val="between"/>
      </c:valAx>
      <c:catAx>
        <c:axId val="172148992"/>
        <c:scaling>
          <c:orientation val="maxMin"/>
        </c:scaling>
        <c:delete val="0"/>
        <c:axPos val="l"/>
        <c:majorTickMark val="out"/>
        <c:minorTickMark val="none"/>
        <c:tickLblPos val="nextTo"/>
        <c:crossAx val="1721470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stocks in all conifers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country'!$G$7:$G$20</c:f>
              <c:numCache>
                <c:formatCode>#,##0</c:formatCode>
                <c:ptCount val="14"/>
                <c:pt idx="0">
                  <c:v>920.92899999999997</c:v>
                </c:pt>
                <c:pt idx="1">
                  <c:v>580.98</c:v>
                </c:pt>
                <c:pt idx="2">
                  <c:v>1086.8710000000001</c:v>
                </c:pt>
                <c:pt idx="3">
                  <c:v>340.25</c:v>
                </c:pt>
                <c:pt idx="4">
                  <c:v>40.026000000000003</c:v>
                </c:pt>
                <c:pt idx="5">
                  <c:v>15.616</c:v>
                </c:pt>
                <c:pt idx="6">
                  <c:v>172.03100000000001</c:v>
                </c:pt>
                <c:pt idx="7">
                  <c:v>221.45500000000001</c:v>
                </c:pt>
                <c:pt idx="8">
                  <c:v>2280.712</c:v>
                </c:pt>
                <c:pt idx="9">
                  <c:v>687.40499999999997</c:v>
                </c:pt>
                <c:pt idx="10">
                  <c:v>84.131</c:v>
                </c:pt>
                <c:pt idx="11">
                  <c:v>447.87099999999998</c:v>
                </c:pt>
                <c:pt idx="12">
                  <c:v>961.72400000000005</c:v>
                </c:pt>
                <c:pt idx="13">
                  <c:v>807.20299999999997</c:v>
                </c:pt>
              </c:numCache>
            </c:numRef>
          </c:val>
        </c:ser>
        <c:ser>
          <c:idx val="1"/>
          <c:order val="1"/>
          <c:tx>
            <c:strRef>
              <c:f>'Section 6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151.98093900000001</c:v>
                  </c:pt>
                  <c:pt idx="11">
                    <c:v>110.30349440000001</c:v>
                  </c:pt>
                  <c:pt idx="12">
                    <c:v>215.43009599999996</c:v>
                  </c:pt>
                  <c:pt idx="13">
                    <c:v>105.00874930000001</c:v>
                  </c:pt>
                </c:numCache>
              </c:numRef>
            </c:plus>
            <c:minus>
              <c:numRef>
                <c:f>'Section 6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151.98093900000001</c:v>
                  </c:pt>
                  <c:pt idx="11">
                    <c:v>110.30349440000001</c:v>
                  </c:pt>
                  <c:pt idx="12">
                    <c:v>215.43009599999996</c:v>
                  </c:pt>
                  <c:pt idx="13">
                    <c:v>105.00874930000001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country'!$H$7:$H$20</c:f>
              <c:numCache>
                <c:formatCode>#,##0</c:formatCode>
                <c:ptCount val="14"/>
                <c:pt idx="0">
                  <c:v>1820.877</c:v>
                </c:pt>
                <c:pt idx="1">
                  <c:v>1891.3689999999999</c:v>
                </c:pt>
                <c:pt idx="2">
                  <c:v>1284.0039999999999</c:v>
                </c:pt>
                <c:pt idx="3">
                  <c:v>760.28899999999999</c:v>
                </c:pt>
                <c:pt idx="4">
                  <c:v>183.703</c:v>
                </c:pt>
                <c:pt idx="5">
                  <c:v>277.69099999999997</c:v>
                </c:pt>
                <c:pt idx="6">
                  <c:v>842.399</c:v>
                </c:pt>
                <c:pt idx="7">
                  <c:v>365.37099999999998</c:v>
                </c:pt>
                <c:pt idx="8">
                  <c:v>2553.5990000000002</c:v>
                </c:pt>
                <c:pt idx="9">
                  <c:v>1442.4970000000001</c:v>
                </c:pt>
                <c:pt idx="10">
                  <c:v>1897.39</c:v>
                </c:pt>
                <c:pt idx="11">
                  <c:v>1566.8109999999999</c:v>
                </c:pt>
                <c:pt idx="12">
                  <c:v>2476.2080000000001</c:v>
                </c:pt>
                <c:pt idx="13">
                  <c:v>1819.9090000000001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515520"/>
        <c:axId val="147989632"/>
      </c:barChart>
      <c:catAx>
        <c:axId val="135515520"/>
        <c:scaling>
          <c:orientation val="maxMin"/>
        </c:scaling>
        <c:delete val="0"/>
        <c:axPos val="l"/>
        <c:majorTickMark val="out"/>
        <c:minorTickMark val="none"/>
        <c:tickLblPos val="nextTo"/>
        <c:crossAx val="147989632"/>
        <c:crosses val="autoZero"/>
        <c:auto val="1"/>
        <c:lblAlgn val="ctr"/>
        <c:lblOffset val="100"/>
        <c:tickLblSkip val="1"/>
        <c:noMultiLvlLbl val="0"/>
      </c:catAx>
      <c:valAx>
        <c:axId val="147989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55155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country'!$G$4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country'!$G$7:$G$20</c:f>
              <c:numCache>
                <c:formatCode>#,##0</c:formatCode>
                <c:ptCount val="14"/>
                <c:pt idx="0">
                  <c:v>920.92899999999997</c:v>
                </c:pt>
                <c:pt idx="1">
                  <c:v>580.98</c:v>
                </c:pt>
                <c:pt idx="2">
                  <c:v>1086.8710000000001</c:v>
                </c:pt>
                <c:pt idx="3">
                  <c:v>340.25</c:v>
                </c:pt>
                <c:pt idx="4">
                  <c:v>40.026000000000003</c:v>
                </c:pt>
                <c:pt idx="5">
                  <c:v>15.616</c:v>
                </c:pt>
                <c:pt idx="6">
                  <c:v>172.03100000000001</c:v>
                </c:pt>
                <c:pt idx="7">
                  <c:v>221.45500000000001</c:v>
                </c:pt>
                <c:pt idx="8">
                  <c:v>2280.712</c:v>
                </c:pt>
                <c:pt idx="9">
                  <c:v>687.40499999999997</c:v>
                </c:pt>
                <c:pt idx="10">
                  <c:v>84.131</c:v>
                </c:pt>
                <c:pt idx="11">
                  <c:v>447.87099999999998</c:v>
                </c:pt>
                <c:pt idx="12">
                  <c:v>961.72400000000005</c:v>
                </c:pt>
                <c:pt idx="13">
                  <c:v>807.20299999999997</c:v>
                </c:pt>
              </c:numCache>
            </c:numRef>
          </c:val>
        </c:ser>
        <c:ser>
          <c:idx val="1"/>
          <c:order val="1"/>
          <c:tx>
            <c:strRef>
              <c:f>'Section 6 data country'!$H$4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151.98093900000001</c:v>
                  </c:pt>
                  <c:pt idx="11">
                    <c:v>110.30349440000001</c:v>
                  </c:pt>
                  <c:pt idx="12">
                    <c:v>215.43009599999996</c:v>
                  </c:pt>
                  <c:pt idx="13">
                    <c:v>105.00874930000001</c:v>
                  </c:pt>
                </c:numCache>
              </c:numRef>
            </c:plus>
            <c:minus>
              <c:numRef>
                <c:f>'Section 6 data country'!$Q$7:$Q$20</c:f>
                <c:numCache>
                  <c:formatCode>General</c:formatCode>
                  <c:ptCount val="14"/>
                  <c:pt idx="0">
                    <c:v>124.9121622</c:v>
                  </c:pt>
                  <c:pt idx="1">
                    <c:v>127.85654439999999</c:v>
                  </c:pt>
                  <c:pt idx="2">
                    <c:v>99.51030999999999</c:v>
                  </c:pt>
                  <c:pt idx="3">
                    <c:v>98.761541099999988</c:v>
                  </c:pt>
                  <c:pt idx="4">
                    <c:v>33.011429100000001</c:v>
                  </c:pt>
                  <c:pt idx="5">
                    <c:v>47.846159299999997</c:v>
                  </c:pt>
                  <c:pt idx="6">
                    <c:v>82.133902500000005</c:v>
                  </c:pt>
                  <c:pt idx="7">
                    <c:v>44.209890999999999</c:v>
                  </c:pt>
                  <c:pt idx="8">
                    <c:v>180.0287295</c:v>
                  </c:pt>
                  <c:pt idx="9">
                    <c:v>92.896806800000007</c:v>
                  </c:pt>
                  <c:pt idx="10">
                    <c:v>151.98093900000001</c:v>
                  </c:pt>
                  <c:pt idx="11">
                    <c:v>110.30349440000001</c:v>
                  </c:pt>
                  <c:pt idx="12">
                    <c:v>215.43009599999996</c:v>
                  </c:pt>
                  <c:pt idx="13">
                    <c:v>105.00874930000001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country'!$H$7:$H$20</c:f>
              <c:numCache>
                <c:formatCode>#,##0</c:formatCode>
                <c:ptCount val="14"/>
                <c:pt idx="0">
                  <c:v>1820.877</c:v>
                </c:pt>
                <c:pt idx="1">
                  <c:v>1891.3689999999999</c:v>
                </c:pt>
                <c:pt idx="2">
                  <c:v>1284.0039999999999</c:v>
                </c:pt>
                <c:pt idx="3">
                  <c:v>760.28899999999999</c:v>
                </c:pt>
                <c:pt idx="4">
                  <c:v>183.703</c:v>
                </c:pt>
                <c:pt idx="5">
                  <c:v>277.69099999999997</c:v>
                </c:pt>
                <c:pt idx="6">
                  <c:v>842.399</c:v>
                </c:pt>
                <c:pt idx="7">
                  <c:v>365.37099999999998</c:v>
                </c:pt>
                <c:pt idx="8">
                  <c:v>2553.5990000000002</c:v>
                </c:pt>
                <c:pt idx="9">
                  <c:v>1442.4970000000001</c:v>
                </c:pt>
                <c:pt idx="10">
                  <c:v>1897.39</c:v>
                </c:pt>
                <c:pt idx="11">
                  <c:v>1566.8109999999999</c:v>
                </c:pt>
                <c:pt idx="12">
                  <c:v>2476.2080000000001</c:v>
                </c:pt>
                <c:pt idx="13">
                  <c:v>1819.9090000000001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4822784"/>
        <c:axId val="184832768"/>
      </c:barChart>
      <c:catAx>
        <c:axId val="184822784"/>
        <c:scaling>
          <c:orientation val="maxMin"/>
        </c:scaling>
        <c:delete val="0"/>
        <c:axPos val="l"/>
        <c:majorTickMark val="out"/>
        <c:minorTickMark val="none"/>
        <c:tickLblPos val="nextTo"/>
        <c:crossAx val="184832768"/>
        <c:crosses val="autoZero"/>
        <c:auto val="1"/>
        <c:lblAlgn val="ctr"/>
        <c:lblOffset val="100"/>
        <c:tickLblSkip val="1"/>
        <c:noMultiLvlLbl val="0"/>
      </c:catAx>
      <c:valAx>
        <c:axId val="18483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482278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stocks in all broadleaves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country'!$K$7:$K$20</c:f>
              <c:numCache>
                <c:formatCode>#,##0</c:formatCode>
                <c:ptCount val="14"/>
                <c:pt idx="0">
                  <c:v>163.25899999999999</c:v>
                </c:pt>
                <c:pt idx="1">
                  <c:v>135.53</c:v>
                </c:pt>
                <c:pt idx="2">
                  <c:v>249.21</c:v>
                </c:pt>
                <c:pt idx="3">
                  <c:v>101.471</c:v>
                </c:pt>
                <c:pt idx="4">
                  <c:v>23.902999999999999</c:v>
                </c:pt>
                <c:pt idx="5">
                  <c:v>26.763999999999999</c:v>
                </c:pt>
                <c:pt idx="6">
                  <c:v>170.20099999999999</c:v>
                </c:pt>
                <c:pt idx="7">
                  <c:v>369.92200000000003</c:v>
                </c:pt>
                <c:pt idx="8">
                  <c:v>60.192</c:v>
                </c:pt>
                <c:pt idx="9">
                  <c:v>1615.575</c:v>
                </c:pt>
                <c:pt idx="10">
                  <c:v>102.79</c:v>
                </c:pt>
                <c:pt idx="11">
                  <c:v>356.79899999999998</c:v>
                </c:pt>
                <c:pt idx="12">
                  <c:v>511.42599999999999</c:v>
                </c:pt>
                <c:pt idx="13">
                  <c:v>155.63499999999999</c:v>
                </c:pt>
              </c:numCache>
            </c:numRef>
          </c:val>
        </c:ser>
        <c:ser>
          <c:idx val="1"/>
          <c:order val="1"/>
          <c:tx>
            <c:strRef>
              <c:f>'Section 6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334.56593939999999</c:v>
                  </c:pt>
                  <c:pt idx="11">
                    <c:v>247.44871979999999</c:v>
                  </c:pt>
                  <c:pt idx="12">
                    <c:v>433.75089439999994</c:v>
                  </c:pt>
                  <c:pt idx="13">
                    <c:v>208.09853899999999</c:v>
                  </c:pt>
                </c:numCache>
              </c:numRef>
            </c:plus>
            <c:minus>
              <c:numRef>
                <c:f>'Section 6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334.56593939999999</c:v>
                  </c:pt>
                  <c:pt idx="11">
                    <c:v>247.44871979999999</c:v>
                  </c:pt>
                  <c:pt idx="12">
                    <c:v>433.75089439999994</c:v>
                  </c:pt>
                  <c:pt idx="13">
                    <c:v>208.09853899999999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country'!$L$7:$L$20</c:f>
              <c:numCache>
                <c:formatCode>#,##0</c:formatCode>
                <c:ptCount val="14"/>
                <c:pt idx="0">
                  <c:v>3306.3009999999999</c:v>
                </c:pt>
                <c:pt idx="1">
                  <c:v>7517.1329999999998</c:v>
                </c:pt>
                <c:pt idx="2">
                  <c:v>6568.4470000000001</c:v>
                </c:pt>
                <c:pt idx="3">
                  <c:v>2524.58</c:v>
                </c:pt>
                <c:pt idx="4">
                  <c:v>1745.9839999999999</c:v>
                </c:pt>
                <c:pt idx="5">
                  <c:v>2360.5540000000001</c:v>
                </c:pt>
                <c:pt idx="6">
                  <c:v>7322.9719999999998</c:v>
                </c:pt>
                <c:pt idx="7">
                  <c:v>2732.7860000000001</c:v>
                </c:pt>
                <c:pt idx="8">
                  <c:v>2543.8690000000001</c:v>
                </c:pt>
                <c:pt idx="9">
                  <c:v>7801.0069999999996</c:v>
                </c:pt>
                <c:pt idx="10">
                  <c:v>7241.6869999999999</c:v>
                </c:pt>
                <c:pt idx="11">
                  <c:v>6892.7219999999998</c:v>
                </c:pt>
                <c:pt idx="12">
                  <c:v>8888.3379999999997</c:v>
                </c:pt>
                <c:pt idx="13">
                  <c:v>4931.2449999999999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147712"/>
        <c:axId val="160149504"/>
      </c:barChart>
      <c:catAx>
        <c:axId val="160147712"/>
        <c:scaling>
          <c:orientation val="maxMin"/>
        </c:scaling>
        <c:delete val="0"/>
        <c:axPos val="l"/>
        <c:majorTickMark val="out"/>
        <c:minorTickMark val="none"/>
        <c:tickLblPos val="nextTo"/>
        <c:crossAx val="160149504"/>
        <c:crosses val="autoZero"/>
        <c:auto val="1"/>
        <c:lblAlgn val="ctr"/>
        <c:lblOffset val="100"/>
        <c:tickLblSkip val="1"/>
        <c:noMultiLvlLbl val="0"/>
      </c:catAx>
      <c:valAx>
        <c:axId val="160149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01477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country'!$K$4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country'!$K$7:$K$20</c:f>
              <c:numCache>
                <c:formatCode>#,##0</c:formatCode>
                <c:ptCount val="14"/>
                <c:pt idx="0">
                  <c:v>163.25899999999999</c:v>
                </c:pt>
                <c:pt idx="1">
                  <c:v>135.53</c:v>
                </c:pt>
                <c:pt idx="2">
                  <c:v>249.21</c:v>
                </c:pt>
                <c:pt idx="3">
                  <c:v>101.471</c:v>
                </c:pt>
                <c:pt idx="4">
                  <c:v>23.902999999999999</c:v>
                </c:pt>
                <c:pt idx="5">
                  <c:v>26.763999999999999</c:v>
                </c:pt>
                <c:pt idx="6">
                  <c:v>170.20099999999999</c:v>
                </c:pt>
                <c:pt idx="7">
                  <c:v>369.92200000000003</c:v>
                </c:pt>
                <c:pt idx="8">
                  <c:v>60.192</c:v>
                </c:pt>
                <c:pt idx="9">
                  <c:v>1615.575</c:v>
                </c:pt>
                <c:pt idx="10">
                  <c:v>102.79</c:v>
                </c:pt>
                <c:pt idx="11">
                  <c:v>356.79899999999998</c:v>
                </c:pt>
                <c:pt idx="12">
                  <c:v>511.42599999999999</c:v>
                </c:pt>
                <c:pt idx="13">
                  <c:v>155.63499999999999</c:v>
                </c:pt>
              </c:numCache>
            </c:numRef>
          </c:val>
        </c:ser>
        <c:ser>
          <c:idx val="1"/>
          <c:order val="1"/>
          <c:tx>
            <c:strRef>
              <c:f>'Section 6 data country'!$L$4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334.56593939999999</c:v>
                  </c:pt>
                  <c:pt idx="11">
                    <c:v>247.44871979999999</c:v>
                  </c:pt>
                  <c:pt idx="12">
                    <c:v>433.75089439999994</c:v>
                  </c:pt>
                  <c:pt idx="13">
                    <c:v>208.09853899999999</c:v>
                  </c:pt>
                </c:numCache>
              </c:numRef>
            </c:plus>
            <c:minus>
              <c:numRef>
                <c:f>'Section 6 data country'!$R$7:$R$20</c:f>
                <c:numCache>
                  <c:formatCode>General</c:formatCode>
                  <c:ptCount val="14"/>
                  <c:pt idx="0">
                    <c:v>194.4104988</c:v>
                  </c:pt>
                  <c:pt idx="1">
                    <c:v>396.15290909999999</c:v>
                  </c:pt>
                  <c:pt idx="2">
                    <c:v>310.68754310000003</c:v>
                  </c:pt>
                  <c:pt idx="3">
                    <c:v>214.33684199999999</c:v>
                  </c:pt>
                  <c:pt idx="4">
                    <c:v>223.83514879999998</c:v>
                  </c:pt>
                  <c:pt idx="5">
                    <c:v>314.42579280000001</c:v>
                  </c:pt>
                  <c:pt idx="6">
                    <c:v>336.12441480000001</c:v>
                  </c:pt>
                  <c:pt idx="7">
                    <c:v>182.82338340000001</c:v>
                  </c:pt>
                  <c:pt idx="8">
                    <c:v>181.37785970000002</c:v>
                  </c:pt>
                  <c:pt idx="9">
                    <c:v>264.45413730000001</c:v>
                  </c:pt>
                  <c:pt idx="10">
                    <c:v>334.56593939999999</c:v>
                  </c:pt>
                  <c:pt idx="11">
                    <c:v>247.44871979999999</c:v>
                  </c:pt>
                  <c:pt idx="12">
                    <c:v>433.75089439999994</c:v>
                  </c:pt>
                  <c:pt idx="13">
                    <c:v>208.09853899999999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country'!$L$7:$L$20</c:f>
              <c:numCache>
                <c:formatCode>#,##0</c:formatCode>
                <c:ptCount val="14"/>
                <c:pt idx="0">
                  <c:v>3306.3009999999999</c:v>
                </c:pt>
                <c:pt idx="1">
                  <c:v>7517.1329999999998</c:v>
                </c:pt>
                <c:pt idx="2">
                  <c:v>6568.4470000000001</c:v>
                </c:pt>
                <c:pt idx="3">
                  <c:v>2524.58</c:v>
                </c:pt>
                <c:pt idx="4">
                  <c:v>1745.9839999999999</c:v>
                </c:pt>
                <c:pt idx="5">
                  <c:v>2360.5540000000001</c:v>
                </c:pt>
                <c:pt idx="6">
                  <c:v>7322.9719999999998</c:v>
                </c:pt>
                <c:pt idx="7">
                  <c:v>2732.7860000000001</c:v>
                </c:pt>
                <c:pt idx="8">
                  <c:v>2543.8690000000001</c:v>
                </c:pt>
                <c:pt idx="9">
                  <c:v>7801.0069999999996</c:v>
                </c:pt>
                <c:pt idx="10">
                  <c:v>7241.6869999999999</c:v>
                </c:pt>
                <c:pt idx="11">
                  <c:v>6892.7219999999998</c:v>
                </c:pt>
                <c:pt idx="12">
                  <c:v>8888.3379999999997</c:v>
                </c:pt>
                <c:pt idx="13">
                  <c:v>4931.2449999999999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810176"/>
        <c:axId val="147811712"/>
      </c:barChart>
      <c:catAx>
        <c:axId val="147810176"/>
        <c:scaling>
          <c:orientation val="maxMin"/>
        </c:scaling>
        <c:delete val="0"/>
        <c:axPos val="l"/>
        <c:majorTickMark val="out"/>
        <c:minorTickMark val="none"/>
        <c:tickLblPos val="nextTo"/>
        <c:crossAx val="147811712"/>
        <c:crosses val="autoZero"/>
        <c:auto val="1"/>
        <c:lblAlgn val="ctr"/>
        <c:lblOffset val="100"/>
        <c:tickLblSkip val="1"/>
        <c:noMultiLvlLbl val="0"/>
      </c:catAx>
      <c:valAx>
        <c:axId val="147811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47810176"/>
        <c:crosses val="max"/>
        <c:crossBetween val="between"/>
        <c:majorUnit val="2000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Carbon stocks in all species by aligned area</a:t>
            </a:r>
            <a:endParaRPr lang="en-GB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country'!$C$7:$C$20</c:f>
              <c:numCache>
                <c:formatCode>#,##0</c:formatCode>
                <c:ptCount val="14"/>
                <c:pt idx="0">
                  <c:v>1084.1869999999999</c:v>
                </c:pt>
                <c:pt idx="1">
                  <c:v>716.51099999999997</c:v>
                </c:pt>
                <c:pt idx="2">
                  <c:v>1336.0809999999999</c:v>
                </c:pt>
                <c:pt idx="3">
                  <c:v>441.72</c:v>
                </c:pt>
                <c:pt idx="4">
                  <c:v>63.929000000000002</c:v>
                </c:pt>
                <c:pt idx="5">
                  <c:v>42.38</c:v>
                </c:pt>
                <c:pt idx="6">
                  <c:v>342.23200000000003</c:v>
                </c:pt>
                <c:pt idx="7">
                  <c:v>591.37699999999995</c:v>
                </c:pt>
                <c:pt idx="8">
                  <c:v>2340.904</c:v>
                </c:pt>
                <c:pt idx="9">
                  <c:v>2302.98</c:v>
                </c:pt>
                <c:pt idx="10">
                  <c:v>186.92099999999999</c:v>
                </c:pt>
                <c:pt idx="11">
                  <c:v>1473.15</c:v>
                </c:pt>
                <c:pt idx="12">
                  <c:v>804.67</c:v>
                </c:pt>
                <c:pt idx="13">
                  <c:v>962.83799999999997</c:v>
                </c:pt>
              </c:numCache>
            </c:numRef>
          </c:val>
        </c:ser>
        <c:ser>
          <c:idx val="1"/>
          <c:order val="1"/>
          <c:tx>
            <c:strRef>
              <c:f>'Section 6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357.6108984</c:v>
                  </c:pt>
                  <c:pt idx="11">
                    <c:v>259.40714080000004</c:v>
                  </c:pt>
                  <c:pt idx="12">
                    <c:v>477.17571400000003</c:v>
                  </c:pt>
                  <c:pt idx="13">
                    <c:v>220.72424790000002</c:v>
                  </c:pt>
                </c:numCache>
              </c:numRef>
            </c:plus>
            <c:minus>
              <c:numRef>
                <c:f>'Section 6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357.6108984</c:v>
                  </c:pt>
                  <c:pt idx="11">
                    <c:v>259.40714080000004</c:v>
                  </c:pt>
                  <c:pt idx="12">
                    <c:v>477.17571400000003</c:v>
                  </c:pt>
                  <c:pt idx="13">
                    <c:v>220.72424790000002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country'!$D$7:$D$20</c:f>
              <c:numCache>
                <c:formatCode>#,##0</c:formatCode>
                <c:ptCount val="14"/>
                <c:pt idx="0">
                  <c:v>5131.335</c:v>
                </c:pt>
                <c:pt idx="1">
                  <c:v>9417.15</c:v>
                </c:pt>
                <c:pt idx="2">
                  <c:v>7854.8249999999998</c:v>
                </c:pt>
                <c:pt idx="3">
                  <c:v>3284.8690000000001</c:v>
                </c:pt>
                <c:pt idx="4">
                  <c:v>1929.6859999999999</c:v>
                </c:pt>
                <c:pt idx="5">
                  <c:v>2638.2449999999999</c:v>
                </c:pt>
                <c:pt idx="6">
                  <c:v>8167.3969999999999</c:v>
                </c:pt>
                <c:pt idx="7">
                  <c:v>3102.527</c:v>
                </c:pt>
                <c:pt idx="8">
                  <c:v>5103.7020000000002</c:v>
                </c:pt>
                <c:pt idx="9">
                  <c:v>9250.0349999999999</c:v>
                </c:pt>
                <c:pt idx="10">
                  <c:v>9122.7270000000008</c:v>
                </c:pt>
                <c:pt idx="11">
                  <c:v>8449.7440000000006</c:v>
                </c:pt>
                <c:pt idx="12">
                  <c:v>11334.34</c:v>
                </c:pt>
                <c:pt idx="13">
                  <c:v>6749.9769999999999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854464"/>
        <c:axId val="147856000"/>
      </c:barChart>
      <c:catAx>
        <c:axId val="147854464"/>
        <c:scaling>
          <c:orientation val="maxMin"/>
        </c:scaling>
        <c:delete val="0"/>
        <c:axPos val="l"/>
        <c:majorTickMark val="out"/>
        <c:minorTickMark val="none"/>
        <c:tickLblPos val="nextTo"/>
        <c:crossAx val="147856000"/>
        <c:crosses val="autoZero"/>
        <c:auto val="1"/>
        <c:lblAlgn val="ctr"/>
        <c:lblOffset val="100"/>
        <c:tickLblSkip val="1"/>
        <c:noMultiLvlLbl val="0"/>
      </c:catAx>
      <c:valAx>
        <c:axId val="147856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  <a:latin typeface="+mn-lt"/>
                  </a:rPr>
                  <a:t>Carbon (000 t)</a:t>
                </a:r>
                <a:endParaRPr lang="en-GB">
                  <a:effectLst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478544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6 data country'!$C$4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country'!$C$7:$C$20</c:f>
              <c:numCache>
                <c:formatCode>#,##0</c:formatCode>
                <c:ptCount val="14"/>
                <c:pt idx="0">
                  <c:v>1084.1869999999999</c:v>
                </c:pt>
                <c:pt idx="1">
                  <c:v>716.51099999999997</c:v>
                </c:pt>
                <c:pt idx="2">
                  <c:v>1336.0809999999999</c:v>
                </c:pt>
                <c:pt idx="3">
                  <c:v>441.72</c:v>
                </c:pt>
                <c:pt idx="4">
                  <c:v>63.929000000000002</c:v>
                </c:pt>
                <c:pt idx="5">
                  <c:v>42.38</c:v>
                </c:pt>
                <c:pt idx="6">
                  <c:v>342.23200000000003</c:v>
                </c:pt>
                <c:pt idx="7">
                  <c:v>591.37699999999995</c:v>
                </c:pt>
                <c:pt idx="8">
                  <c:v>2340.904</c:v>
                </c:pt>
                <c:pt idx="9">
                  <c:v>2302.98</c:v>
                </c:pt>
                <c:pt idx="10">
                  <c:v>186.92099999999999</c:v>
                </c:pt>
                <c:pt idx="11">
                  <c:v>1473.15</c:v>
                </c:pt>
                <c:pt idx="12">
                  <c:v>804.67</c:v>
                </c:pt>
                <c:pt idx="13">
                  <c:v>962.83799999999997</c:v>
                </c:pt>
              </c:numCache>
            </c:numRef>
          </c:val>
        </c:ser>
        <c:ser>
          <c:idx val="1"/>
          <c:order val="1"/>
          <c:tx>
            <c:strRef>
              <c:f>'Section 6 data country'!$D$4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6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357.6108984</c:v>
                  </c:pt>
                  <c:pt idx="11">
                    <c:v>259.40714080000004</c:v>
                  </c:pt>
                  <c:pt idx="12">
                    <c:v>477.17571400000003</c:v>
                  </c:pt>
                  <c:pt idx="13">
                    <c:v>220.72424790000002</c:v>
                  </c:pt>
                </c:numCache>
              </c:numRef>
            </c:plus>
            <c:minus>
              <c:numRef>
                <c:f>'Section 6 data country'!$P$7:$P$20</c:f>
                <c:numCache>
                  <c:formatCode>General</c:formatCode>
                  <c:ptCount val="14"/>
                  <c:pt idx="0">
                    <c:v>219.10800449999999</c:v>
                  </c:pt>
                  <c:pt idx="1">
                    <c:v>413.41288499999996</c:v>
                  </c:pt>
                  <c:pt idx="2">
                    <c:v>312.62203499999998</c:v>
                  </c:pt>
                  <c:pt idx="3">
                    <c:v>218.77227540000001</c:v>
                  </c:pt>
                  <c:pt idx="4">
                    <c:v>223.84357599999998</c:v>
                  </c:pt>
                  <c:pt idx="5">
                    <c:v>317.11704899999995</c:v>
                  </c:pt>
                  <c:pt idx="6">
                    <c:v>338.13023579999992</c:v>
                  </c:pt>
                  <c:pt idx="7">
                    <c:v>181.18757679999999</c:v>
                  </c:pt>
                  <c:pt idx="8">
                    <c:v>245.99843640000003</c:v>
                  </c:pt>
                  <c:pt idx="9">
                    <c:v>272.87603250000001</c:v>
                  </c:pt>
                  <c:pt idx="10">
                    <c:v>357.6108984</c:v>
                  </c:pt>
                  <c:pt idx="11">
                    <c:v>259.40714080000004</c:v>
                  </c:pt>
                  <c:pt idx="12">
                    <c:v>477.17571400000003</c:v>
                  </c:pt>
                  <c:pt idx="13">
                    <c:v>220.72424790000002</c:v>
                  </c:pt>
                </c:numCache>
              </c:numRef>
            </c:minus>
          </c:errBars>
          <c:cat>
            <c:strRef>
              <c:f>'Section 6 data country'!$B$7:$B$20</c:f>
              <c:strCache>
                <c:ptCount val="14"/>
                <c:pt idx="0">
                  <c:v>Cumbria and Lancashire</c:v>
                </c:pt>
                <c:pt idx="1">
                  <c:v>Devon Cornwall and the Isles of Scilly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Greater Manchester Merseyside and Cheshire</c:v>
                </c:pt>
                <c:pt idx="5">
                  <c:v>Hertfordshire and North London</c:v>
                </c:pt>
                <c:pt idx="6">
                  <c:v>Kent South London and East Sussex</c:v>
                </c:pt>
                <c:pt idx="7">
                  <c:v>Lincolnshire and Northamptonshire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'Section 6 data country'!$D$7:$D$20</c:f>
              <c:numCache>
                <c:formatCode>#,##0</c:formatCode>
                <c:ptCount val="14"/>
                <c:pt idx="0">
                  <c:v>5131.335</c:v>
                </c:pt>
                <c:pt idx="1">
                  <c:v>9417.15</c:v>
                </c:pt>
                <c:pt idx="2">
                  <c:v>7854.8249999999998</c:v>
                </c:pt>
                <c:pt idx="3">
                  <c:v>3284.8690000000001</c:v>
                </c:pt>
                <c:pt idx="4">
                  <c:v>1929.6859999999999</c:v>
                </c:pt>
                <c:pt idx="5">
                  <c:v>2638.2449999999999</c:v>
                </c:pt>
                <c:pt idx="6">
                  <c:v>8167.3969999999999</c:v>
                </c:pt>
                <c:pt idx="7">
                  <c:v>3102.527</c:v>
                </c:pt>
                <c:pt idx="8">
                  <c:v>5103.7020000000002</c:v>
                </c:pt>
                <c:pt idx="9">
                  <c:v>9250.0349999999999</c:v>
                </c:pt>
                <c:pt idx="10">
                  <c:v>9122.7270000000008</c:v>
                </c:pt>
                <c:pt idx="11">
                  <c:v>8449.7440000000006</c:v>
                </c:pt>
                <c:pt idx="12">
                  <c:v>11334.34</c:v>
                </c:pt>
                <c:pt idx="13">
                  <c:v>6749.9769999999999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923712"/>
        <c:axId val="147925248"/>
      </c:barChart>
      <c:catAx>
        <c:axId val="147923712"/>
        <c:scaling>
          <c:orientation val="maxMin"/>
        </c:scaling>
        <c:delete val="0"/>
        <c:axPos val="l"/>
        <c:majorTickMark val="out"/>
        <c:minorTickMark val="none"/>
        <c:tickLblPos val="nextTo"/>
        <c:crossAx val="147925248"/>
        <c:crosses val="autoZero"/>
        <c:auto val="1"/>
        <c:lblAlgn val="ctr"/>
        <c:lblOffset val="100"/>
        <c:tickLblSkip val="1"/>
        <c:noMultiLvlLbl val="0"/>
      </c:catAx>
      <c:valAx>
        <c:axId val="147925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  <a:endParaRPr lang="en-GB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479237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Evidence of management - PS sections with broadleaves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6.6666666666666666E-2"/>
          <c:w val="0.75077559462254395"/>
          <c:h val="0.607843943235909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9.529093462132468E-2</c:v>
                </c:pt>
                <c:pt idx="2">
                  <c:v>0.17205179241289228</c:v>
                </c:pt>
                <c:pt idx="3">
                  <c:v>0.78070658583784636</c:v>
                </c:pt>
                <c:pt idx="4">
                  <c:v>1.2983129146293702</c:v>
                </c:pt>
                <c:pt idx="5">
                  <c:v>0</c:v>
                </c:pt>
                <c:pt idx="6">
                  <c:v>0.37386984750505853</c:v>
                </c:pt>
                <c:pt idx="7">
                  <c:v>0</c:v>
                </c:pt>
                <c:pt idx="8">
                  <c:v>0</c:v>
                </c:pt>
                <c:pt idx="9">
                  <c:v>0.5017891838181896</c:v>
                </c:pt>
                <c:pt idx="10">
                  <c:v>6.2135063128246432E-2</c:v>
                </c:pt>
                <c:pt idx="11">
                  <c:v>0</c:v>
                </c:pt>
                <c:pt idx="12">
                  <c:v>0</c:v>
                </c:pt>
                <c:pt idx="13">
                  <c:v>9.416076997964401E-3</c:v>
                </c:pt>
                <c:pt idx="14">
                  <c:v>0</c:v>
                </c:pt>
                <c:pt idx="15">
                  <c:v>0</c:v>
                </c:pt>
                <c:pt idx="16">
                  <c:v>1.715874771816533</c:v>
                </c:pt>
                <c:pt idx="17">
                  <c:v>0</c:v>
                </c:pt>
                <c:pt idx="18">
                  <c:v>0.77695728288271981</c:v>
                </c:pt>
                <c:pt idx="19">
                  <c:v>0</c:v>
                </c:pt>
                <c:pt idx="20">
                  <c:v>9.416076997964401E-3</c:v>
                </c:pt>
                <c:pt idx="21">
                  <c:v>5.9413685050756747E-2</c:v>
                </c:pt>
                <c:pt idx="22">
                  <c:v>1.5212628216187554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0.56956494787206657</c:v>
                </c:pt>
                <c:pt idx="28">
                  <c:v>1.4227886503431906</c:v>
                </c:pt>
                <c:pt idx="29">
                  <c:v>0</c:v>
                </c:pt>
                <c:pt idx="30">
                  <c:v>6.8318864542965596E-2</c:v>
                </c:pt>
                <c:pt idx="31">
                  <c:v>4.4212398593474013E-2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9.416076997964401E-3</c:v>
                </c:pt>
                <c:pt idx="2">
                  <c:v>0.45713340099103539</c:v>
                </c:pt>
                <c:pt idx="3">
                  <c:v>0.29183566644801295</c:v>
                </c:pt>
                <c:pt idx="4">
                  <c:v>9.0042495975815378</c:v>
                </c:pt>
                <c:pt idx="5">
                  <c:v>0</c:v>
                </c:pt>
                <c:pt idx="6">
                  <c:v>10.638715801912847</c:v>
                </c:pt>
                <c:pt idx="7">
                  <c:v>9.416076997964401E-3</c:v>
                </c:pt>
                <c:pt idx="8">
                  <c:v>2.2780531556785459</c:v>
                </c:pt>
                <c:pt idx="9">
                  <c:v>4.4700986493837513</c:v>
                </c:pt>
                <c:pt idx="10">
                  <c:v>4.9019987719070279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4.0450139116398356</c:v>
                </c:pt>
                <c:pt idx="17">
                  <c:v>0</c:v>
                </c:pt>
                <c:pt idx="18">
                  <c:v>10.842576797318722</c:v>
                </c:pt>
                <c:pt idx="19">
                  <c:v>1.302260397757073E-2</c:v>
                </c:pt>
                <c:pt idx="20">
                  <c:v>0.13877506557154515</c:v>
                </c:pt>
                <c:pt idx="21">
                  <c:v>0.37623182333961291</c:v>
                </c:pt>
                <c:pt idx="22">
                  <c:v>1.7650004511393143</c:v>
                </c:pt>
                <c:pt idx="23">
                  <c:v>0</c:v>
                </c:pt>
                <c:pt idx="24">
                  <c:v>0</c:v>
                </c:pt>
                <c:pt idx="25">
                  <c:v>2.9205441133275271E-2</c:v>
                </c:pt>
                <c:pt idx="26">
                  <c:v>0</c:v>
                </c:pt>
                <c:pt idx="27">
                  <c:v>5.3952478187060651</c:v>
                </c:pt>
                <c:pt idx="28">
                  <c:v>4.9762171288358337</c:v>
                </c:pt>
                <c:pt idx="29">
                  <c:v>0</c:v>
                </c:pt>
                <c:pt idx="30">
                  <c:v>3.9176972513349589E-2</c:v>
                </c:pt>
                <c:pt idx="31">
                  <c:v>9.416076997964401E-3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1.8832153995928802E-2</c:v>
                </c:pt>
                <c:pt idx="2">
                  <c:v>0.20036090776065427</c:v>
                </c:pt>
                <c:pt idx="3">
                  <c:v>1.7554304118663562</c:v>
                </c:pt>
                <c:pt idx="4">
                  <c:v>0.93385036833851398</c:v>
                </c:pt>
                <c:pt idx="5">
                  <c:v>0.32399757685318609</c:v>
                </c:pt>
                <c:pt idx="6">
                  <c:v>1.186900667499446</c:v>
                </c:pt>
                <c:pt idx="7">
                  <c:v>0</c:v>
                </c:pt>
                <c:pt idx="8">
                  <c:v>1.3874399440066723</c:v>
                </c:pt>
                <c:pt idx="9">
                  <c:v>0.74133902250998063</c:v>
                </c:pt>
                <c:pt idx="10">
                  <c:v>0.56862280345588123</c:v>
                </c:pt>
                <c:pt idx="11">
                  <c:v>0.15568843022898277</c:v>
                </c:pt>
                <c:pt idx="12">
                  <c:v>4.425454495411691E-2</c:v>
                </c:pt>
                <c:pt idx="13">
                  <c:v>0</c:v>
                </c:pt>
                <c:pt idx="14">
                  <c:v>0</c:v>
                </c:pt>
                <c:pt idx="15">
                  <c:v>2.5363804127106766E-2</c:v>
                </c:pt>
                <c:pt idx="16">
                  <c:v>2.38896706634943</c:v>
                </c:pt>
                <c:pt idx="17">
                  <c:v>0.13672494079108632</c:v>
                </c:pt>
                <c:pt idx="18">
                  <c:v>1.7924063952135854</c:v>
                </c:pt>
                <c:pt idx="19">
                  <c:v>0</c:v>
                </c:pt>
                <c:pt idx="20">
                  <c:v>9.2052359682567822E-2</c:v>
                </c:pt>
                <c:pt idx="21">
                  <c:v>0.3840510560877235</c:v>
                </c:pt>
                <c:pt idx="22">
                  <c:v>1.7632576011995298</c:v>
                </c:pt>
                <c:pt idx="23">
                  <c:v>7.1492600375514498E-2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1.2645413070292411</c:v>
                </c:pt>
                <c:pt idx="28">
                  <c:v>1.9805657809108916</c:v>
                </c:pt>
                <c:pt idx="29">
                  <c:v>9.5844204473571074E-2</c:v>
                </c:pt>
                <c:pt idx="30">
                  <c:v>0.16969129490242657</c:v>
                </c:pt>
                <c:pt idx="31">
                  <c:v>1.5859310166131482E-2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780672"/>
        <c:axId val="184782208"/>
      </c:barChart>
      <c:catAx>
        <c:axId val="1847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/>
            </a:pPr>
            <a:endParaRPr lang="en-US"/>
          </a:p>
        </c:txPr>
        <c:crossAx val="184782208"/>
        <c:crosses val="autoZero"/>
        <c:auto val="1"/>
        <c:lblAlgn val="ctr"/>
        <c:lblOffset val="100"/>
        <c:noMultiLvlLbl val="0"/>
      </c:catAx>
      <c:valAx>
        <c:axId val="184782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4780672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2.8248587570621469E-2"/>
          <c:w val="0.75077559462254395"/>
          <c:h val="0.534194403665643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9.529093462132468E-2</c:v>
                </c:pt>
                <c:pt idx="2">
                  <c:v>0.17205179241289228</c:v>
                </c:pt>
                <c:pt idx="3">
                  <c:v>0.78070658583784636</c:v>
                </c:pt>
                <c:pt idx="4">
                  <c:v>1.2983129146293702</c:v>
                </c:pt>
                <c:pt idx="5">
                  <c:v>0</c:v>
                </c:pt>
                <c:pt idx="6">
                  <c:v>0.37386984750505853</c:v>
                </c:pt>
                <c:pt idx="7">
                  <c:v>0</c:v>
                </c:pt>
                <c:pt idx="8">
                  <c:v>0</c:v>
                </c:pt>
                <c:pt idx="9">
                  <c:v>0.5017891838181896</c:v>
                </c:pt>
                <c:pt idx="10">
                  <c:v>6.2135063128246432E-2</c:v>
                </c:pt>
                <c:pt idx="11">
                  <c:v>0</c:v>
                </c:pt>
                <c:pt idx="12">
                  <c:v>0</c:v>
                </c:pt>
                <c:pt idx="13">
                  <c:v>9.416076997964401E-3</c:v>
                </c:pt>
                <c:pt idx="14">
                  <c:v>0</c:v>
                </c:pt>
                <c:pt idx="15">
                  <c:v>0</c:v>
                </c:pt>
                <c:pt idx="16">
                  <c:v>1.715874771816533</c:v>
                </c:pt>
                <c:pt idx="17">
                  <c:v>0</c:v>
                </c:pt>
                <c:pt idx="18">
                  <c:v>0.77695728288271981</c:v>
                </c:pt>
                <c:pt idx="19">
                  <c:v>0</c:v>
                </c:pt>
                <c:pt idx="20">
                  <c:v>9.416076997964401E-3</c:v>
                </c:pt>
                <c:pt idx="21">
                  <c:v>5.9413685050756747E-2</c:v>
                </c:pt>
                <c:pt idx="22">
                  <c:v>1.5212628216187554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0.56956494787206657</c:v>
                </c:pt>
                <c:pt idx="28">
                  <c:v>1.4227886503431906</c:v>
                </c:pt>
                <c:pt idx="29">
                  <c:v>0</c:v>
                </c:pt>
                <c:pt idx="30">
                  <c:v>6.8318864542965596E-2</c:v>
                </c:pt>
                <c:pt idx="31">
                  <c:v>4.4212398593474013E-2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9.416076997964401E-3</c:v>
                </c:pt>
                <c:pt idx="2">
                  <c:v>0.45713340099103539</c:v>
                </c:pt>
                <c:pt idx="3">
                  <c:v>0.29183566644801295</c:v>
                </c:pt>
                <c:pt idx="4">
                  <c:v>9.0042495975815378</c:v>
                </c:pt>
                <c:pt idx="5">
                  <c:v>0</c:v>
                </c:pt>
                <c:pt idx="6">
                  <c:v>10.638715801912847</c:v>
                </c:pt>
                <c:pt idx="7">
                  <c:v>9.416076997964401E-3</c:v>
                </c:pt>
                <c:pt idx="8">
                  <c:v>2.2780531556785459</c:v>
                </c:pt>
                <c:pt idx="9">
                  <c:v>4.4700986493837513</c:v>
                </c:pt>
                <c:pt idx="10">
                  <c:v>4.9019987719070279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4.0450139116398356</c:v>
                </c:pt>
                <c:pt idx="17">
                  <c:v>0</c:v>
                </c:pt>
                <c:pt idx="18">
                  <c:v>10.842576797318722</c:v>
                </c:pt>
                <c:pt idx="19">
                  <c:v>1.302260397757073E-2</c:v>
                </c:pt>
                <c:pt idx="20">
                  <c:v>0.13877506557154515</c:v>
                </c:pt>
                <c:pt idx="21">
                  <c:v>0.37623182333961291</c:v>
                </c:pt>
                <c:pt idx="22">
                  <c:v>1.7650004511393143</c:v>
                </c:pt>
                <c:pt idx="23">
                  <c:v>0</c:v>
                </c:pt>
                <c:pt idx="24">
                  <c:v>0</c:v>
                </c:pt>
                <c:pt idx="25">
                  <c:v>2.9205441133275271E-2</c:v>
                </c:pt>
                <c:pt idx="26">
                  <c:v>0</c:v>
                </c:pt>
                <c:pt idx="27">
                  <c:v>5.3952478187060651</c:v>
                </c:pt>
                <c:pt idx="28">
                  <c:v>4.9762171288358337</c:v>
                </c:pt>
                <c:pt idx="29">
                  <c:v>0</c:v>
                </c:pt>
                <c:pt idx="30">
                  <c:v>3.9176972513349589E-2</c:v>
                </c:pt>
                <c:pt idx="31">
                  <c:v>9.416076997964401E-3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1.8832153995928802E-2</c:v>
                </c:pt>
                <c:pt idx="2">
                  <c:v>0.20036090776065427</c:v>
                </c:pt>
                <c:pt idx="3">
                  <c:v>1.7554304118663562</c:v>
                </c:pt>
                <c:pt idx="4">
                  <c:v>0.93385036833851398</c:v>
                </c:pt>
                <c:pt idx="5">
                  <c:v>0.32399757685318609</c:v>
                </c:pt>
                <c:pt idx="6">
                  <c:v>1.186900667499446</c:v>
                </c:pt>
                <c:pt idx="7">
                  <c:v>0</c:v>
                </c:pt>
                <c:pt idx="8">
                  <c:v>1.3874399440066723</c:v>
                </c:pt>
                <c:pt idx="9">
                  <c:v>0.74133902250998063</c:v>
                </c:pt>
                <c:pt idx="10">
                  <c:v>0.56862280345588123</c:v>
                </c:pt>
                <c:pt idx="11">
                  <c:v>0.15568843022898277</c:v>
                </c:pt>
                <c:pt idx="12">
                  <c:v>4.425454495411691E-2</c:v>
                </c:pt>
                <c:pt idx="13">
                  <c:v>0</c:v>
                </c:pt>
                <c:pt idx="14">
                  <c:v>0</c:v>
                </c:pt>
                <c:pt idx="15">
                  <c:v>2.5363804127106766E-2</c:v>
                </c:pt>
                <c:pt idx="16">
                  <c:v>2.38896706634943</c:v>
                </c:pt>
                <c:pt idx="17">
                  <c:v>0.13672494079108632</c:v>
                </c:pt>
                <c:pt idx="18">
                  <c:v>1.7924063952135854</c:v>
                </c:pt>
                <c:pt idx="19">
                  <c:v>0</c:v>
                </c:pt>
                <c:pt idx="20">
                  <c:v>9.2052359682567822E-2</c:v>
                </c:pt>
                <c:pt idx="21">
                  <c:v>0.3840510560877235</c:v>
                </c:pt>
                <c:pt idx="22">
                  <c:v>1.7632576011995298</c:v>
                </c:pt>
                <c:pt idx="23">
                  <c:v>7.1492600375514498E-2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1.2645413070292411</c:v>
                </c:pt>
                <c:pt idx="28">
                  <c:v>1.9805657809108916</c:v>
                </c:pt>
                <c:pt idx="29">
                  <c:v>9.5844204473571074E-2</c:v>
                </c:pt>
                <c:pt idx="30">
                  <c:v>0.16969129490242657</c:v>
                </c:pt>
                <c:pt idx="31">
                  <c:v>1.5859310166131482E-2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488320"/>
        <c:axId val="184489856"/>
      </c:barChart>
      <c:catAx>
        <c:axId val="1844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/>
            </a:pPr>
            <a:endParaRPr lang="en-US"/>
          </a:p>
        </c:txPr>
        <c:crossAx val="184489856"/>
        <c:crosses val="autoZero"/>
        <c:auto val="1"/>
        <c:lblAlgn val="ctr"/>
        <c:lblOffset val="100"/>
        <c:noMultiLvlLbl val="0"/>
      </c:catAx>
      <c:valAx>
        <c:axId val="184489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4488320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conifers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9.529093462132468E-2</c:v>
                </c:pt>
                <c:pt idx="2">
                  <c:v>0.17205179241289228</c:v>
                </c:pt>
                <c:pt idx="3">
                  <c:v>0.78070658583784636</c:v>
                </c:pt>
                <c:pt idx="4">
                  <c:v>1.2983129146293702</c:v>
                </c:pt>
                <c:pt idx="5">
                  <c:v>0</c:v>
                </c:pt>
                <c:pt idx="6">
                  <c:v>0.37386984750505853</c:v>
                </c:pt>
                <c:pt idx="7">
                  <c:v>0</c:v>
                </c:pt>
                <c:pt idx="8">
                  <c:v>0</c:v>
                </c:pt>
                <c:pt idx="9">
                  <c:v>0.5017891838181896</c:v>
                </c:pt>
                <c:pt idx="10">
                  <c:v>6.2135063128246432E-2</c:v>
                </c:pt>
                <c:pt idx="11">
                  <c:v>0</c:v>
                </c:pt>
                <c:pt idx="12">
                  <c:v>0</c:v>
                </c:pt>
                <c:pt idx="13">
                  <c:v>9.416076997964401E-3</c:v>
                </c:pt>
                <c:pt idx="14">
                  <c:v>0</c:v>
                </c:pt>
                <c:pt idx="15">
                  <c:v>0</c:v>
                </c:pt>
                <c:pt idx="16">
                  <c:v>1.715874771816533</c:v>
                </c:pt>
                <c:pt idx="17">
                  <c:v>0</c:v>
                </c:pt>
                <c:pt idx="18">
                  <c:v>0.77695728288271981</c:v>
                </c:pt>
                <c:pt idx="19">
                  <c:v>0</c:v>
                </c:pt>
                <c:pt idx="20">
                  <c:v>9.416076997964401E-3</c:v>
                </c:pt>
                <c:pt idx="21">
                  <c:v>5.9413685050756747E-2</c:v>
                </c:pt>
                <c:pt idx="22">
                  <c:v>1.5212628216187554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0.56956494787206657</c:v>
                </c:pt>
                <c:pt idx="28">
                  <c:v>1.4227886503431906</c:v>
                </c:pt>
                <c:pt idx="29">
                  <c:v>0</c:v>
                </c:pt>
                <c:pt idx="30">
                  <c:v>6.8318864542965596E-2</c:v>
                </c:pt>
                <c:pt idx="31">
                  <c:v>4.4212398593474013E-2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9.416076997964401E-3</c:v>
                </c:pt>
                <c:pt idx="2">
                  <c:v>0.45713340099103539</c:v>
                </c:pt>
                <c:pt idx="3">
                  <c:v>0.29183566644801295</c:v>
                </c:pt>
                <c:pt idx="4">
                  <c:v>9.0042495975815378</c:v>
                </c:pt>
                <c:pt idx="5">
                  <c:v>0</c:v>
                </c:pt>
                <c:pt idx="6">
                  <c:v>10.638715801912847</c:v>
                </c:pt>
                <c:pt idx="7">
                  <c:v>9.416076997964401E-3</c:v>
                </c:pt>
                <c:pt idx="8">
                  <c:v>2.2780531556785459</c:v>
                </c:pt>
                <c:pt idx="9">
                  <c:v>4.4700986493837513</c:v>
                </c:pt>
                <c:pt idx="10">
                  <c:v>4.9019987719070279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4.0450139116398356</c:v>
                </c:pt>
                <c:pt idx="17">
                  <c:v>0</c:v>
                </c:pt>
                <c:pt idx="18">
                  <c:v>10.842576797318722</c:v>
                </c:pt>
                <c:pt idx="19">
                  <c:v>1.302260397757073E-2</c:v>
                </c:pt>
                <c:pt idx="20">
                  <c:v>0.13877506557154515</c:v>
                </c:pt>
                <c:pt idx="21">
                  <c:v>0.37623182333961291</c:v>
                </c:pt>
                <c:pt idx="22">
                  <c:v>1.7650004511393143</c:v>
                </c:pt>
                <c:pt idx="23">
                  <c:v>0</c:v>
                </c:pt>
                <c:pt idx="24">
                  <c:v>0</c:v>
                </c:pt>
                <c:pt idx="25">
                  <c:v>2.9205441133275271E-2</c:v>
                </c:pt>
                <c:pt idx="26">
                  <c:v>0</c:v>
                </c:pt>
                <c:pt idx="27">
                  <c:v>5.3952478187060651</c:v>
                </c:pt>
                <c:pt idx="28">
                  <c:v>4.9762171288358337</c:v>
                </c:pt>
                <c:pt idx="29">
                  <c:v>0</c:v>
                </c:pt>
                <c:pt idx="30">
                  <c:v>3.9176972513349589E-2</c:v>
                </c:pt>
                <c:pt idx="31">
                  <c:v>9.416076997964401E-3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1.8832153995928802E-2</c:v>
                </c:pt>
                <c:pt idx="2">
                  <c:v>0.20036090776065427</c:v>
                </c:pt>
                <c:pt idx="3">
                  <c:v>1.7554304118663562</c:v>
                </c:pt>
                <c:pt idx="4">
                  <c:v>0.93385036833851398</c:v>
                </c:pt>
                <c:pt idx="5">
                  <c:v>0.32399757685318609</c:v>
                </c:pt>
                <c:pt idx="6">
                  <c:v>1.186900667499446</c:v>
                </c:pt>
                <c:pt idx="7">
                  <c:v>0</c:v>
                </c:pt>
                <c:pt idx="8">
                  <c:v>1.3874399440066723</c:v>
                </c:pt>
                <c:pt idx="9">
                  <c:v>0.74133902250998063</c:v>
                </c:pt>
                <c:pt idx="10">
                  <c:v>0.56862280345588123</c:v>
                </c:pt>
                <c:pt idx="11">
                  <c:v>0.15568843022898277</c:v>
                </c:pt>
                <c:pt idx="12">
                  <c:v>4.425454495411691E-2</c:v>
                </c:pt>
                <c:pt idx="13">
                  <c:v>0</c:v>
                </c:pt>
                <c:pt idx="14">
                  <c:v>0</c:v>
                </c:pt>
                <c:pt idx="15">
                  <c:v>2.5363804127106766E-2</c:v>
                </c:pt>
                <c:pt idx="16">
                  <c:v>2.38896706634943</c:v>
                </c:pt>
                <c:pt idx="17">
                  <c:v>0.13672494079108632</c:v>
                </c:pt>
                <c:pt idx="18">
                  <c:v>1.7924063952135854</c:v>
                </c:pt>
                <c:pt idx="19">
                  <c:v>0</c:v>
                </c:pt>
                <c:pt idx="20">
                  <c:v>9.2052359682567822E-2</c:v>
                </c:pt>
                <c:pt idx="21">
                  <c:v>0.3840510560877235</c:v>
                </c:pt>
                <c:pt idx="22">
                  <c:v>1.7632576011995298</c:v>
                </c:pt>
                <c:pt idx="23">
                  <c:v>7.1492600375514498E-2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1.2645413070292411</c:v>
                </c:pt>
                <c:pt idx="28">
                  <c:v>1.9805657809108916</c:v>
                </c:pt>
                <c:pt idx="29">
                  <c:v>9.5844204473571074E-2</c:v>
                </c:pt>
                <c:pt idx="30">
                  <c:v>0.16969129490242657</c:v>
                </c:pt>
                <c:pt idx="31">
                  <c:v>1.5859310166131482E-2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551296"/>
        <c:axId val="184552832"/>
      </c:barChart>
      <c:catAx>
        <c:axId val="1845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4552832"/>
        <c:crosses val="autoZero"/>
        <c:auto val="1"/>
        <c:lblAlgn val="ctr"/>
        <c:lblOffset val="100"/>
        <c:noMultiLvlLbl val="0"/>
      </c:catAx>
      <c:valAx>
        <c:axId val="184552832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4551296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in England - proportion by aligned area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9EB074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7FE3E3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rgbClr val="80D98D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739C9B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43996C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D7D97E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91E3BB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7FB59F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CFD49F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75DB91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60AB61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85B569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7C996D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8BC4C0"/>
              </a:solidFill>
              <a:ln>
                <a:solidFill>
                  <a:schemeClr val="bg1"/>
                </a:solidFill>
              </a:ln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'Eng Table 3'!$B$8:$B$21</c:f>
              <c:strCache>
                <c:ptCount val="14"/>
                <c:pt idx="0">
                  <c:v>Cumbria and Lancashire</c:v>
                </c:pt>
                <c:pt idx="1">
                  <c:v>Devon and Cornwall</c:v>
                </c:pt>
                <c:pt idx="2">
                  <c:v>East Anglia</c:v>
                </c:pt>
                <c:pt idx="3">
                  <c:v>East Midlands</c:v>
                </c:pt>
                <c:pt idx="4">
                  <c:v>Gtr Mancs Mersey and Ches</c:v>
                </c:pt>
                <c:pt idx="5">
                  <c:v>Herts and North London</c:v>
                </c:pt>
                <c:pt idx="6">
                  <c:v>Kent S London and E Sussex</c:v>
                </c:pt>
                <c:pt idx="7">
                  <c:v>Lincs and Northants</c:v>
                </c:pt>
                <c:pt idx="8">
                  <c:v>North East</c:v>
                </c:pt>
                <c:pt idx="9">
                  <c:v>Solent and South Downs</c:v>
                </c:pt>
                <c:pt idx="10">
                  <c:v>Thames</c:v>
                </c:pt>
                <c:pt idx="11">
                  <c:v>Wessex</c:v>
                </c:pt>
                <c:pt idx="12">
                  <c:v>West Midlands</c:v>
                </c:pt>
                <c:pt idx="13">
                  <c:v>Yorkshire</c:v>
                </c:pt>
              </c:strCache>
            </c:strRef>
          </c:cat>
          <c:val>
            <c:numRef>
              <c:f>'Eng Table 3'!$G$8:$G$21</c:f>
              <c:numCache>
                <c:formatCode>#,##0</c:formatCode>
                <c:ptCount val="14"/>
                <c:pt idx="0">
                  <c:v>88219.762657770407</c:v>
                </c:pt>
                <c:pt idx="1">
                  <c:v>111777.13630338205</c:v>
                </c:pt>
                <c:pt idx="2">
                  <c:v>132939.83507470132</c:v>
                </c:pt>
                <c:pt idx="3">
                  <c:v>56483.157629908012</c:v>
                </c:pt>
                <c:pt idx="4">
                  <c:v>29449.692692504963</c:v>
                </c:pt>
                <c:pt idx="5">
                  <c:v>35171.526755349289</c:v>
                </c:pt>
                <c:pt idx="6">
                  <c:v>103265.27677174045</c:v>
                </c:pt>
                <c:pt idx="7">
                  <c:v>50113.990958361159</c:v>
                </c:pt>
                <c:pt idx="8">
                  <c:v>116129.85117915661</c:v>
                </c:pt>
                <c:pt idx="9">
                  <c:v>120885.63554048826</c:v>
                </c:pt>
                <c:pt idx="10">
                  <c:v>97243.9751786446</c:v>
                </c:pt>
                <c:pt idx="11">
                  <c:v>105008.94606982129</c:v>
                </c:pt>
                <c:pt idx="12">
                  <c:v>140664.15780331078</c:v>
                </c:pt>
                <c:pt idx="13">
                  <c:v>110312.64314683444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48240846685025E-2"/>
          <c:y val="6.8870432609944035E-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9.529093462132468E-2</c:v>
                </c:pt>
                <c:pt idx="2">
                  <c:v>0.17205179241289228</c:v>
                </c:pt>
                <c:pt idx="3">
                  <c:v>0.78070658583784636</c:v>
                </c:pt>
                <c:pt idx="4">
                  <c:v>1.2983129146293702</c:v>
                </c:pt>
                <c:pt idx="5">
                  <c:v>0</c:v>
                </c:pt>
                <c:pt idx="6">
                  <c:v>0.37386984750505853</c:v>
                </c:pt>
                <c:pt idx="7">
                  <c:v>0</c:v>
                </c:pt>
                <c:pt idx="8">
                  <c:v>0</c:v>
                </c:pt>
                <c:pt idx="9">
                  <c:v>0.5017891838181896</c:v>
                </c:pt>
                <c:pt idx="10">
                  <c:v>6.2135063128246432E-2</c:v>
                </c:pt>
                <c:pt idx="11">
                  <c:v>0</c:v>
                </c:pt>
                <c:pt idx="12">
                  <c:v>0</c:v>
                </c:pt>
                <c:pt idx="13">
                  <c:v>9.416076997964401E-3</c:v>
                </c:pt>
                <c:pt idx="14">
                  <c:v>0</c:v>
                </c:pt>
                <c:pt idx="15">
                  <c:v>0</c:v>
                </c:pt>
                <c:pt idx="16">
                  <c:v>1.715874771816533</c:v>
                </c:pt>
                <c:pt idx="17">
                  <c:v>0</c:v>
                </c:pt>
                <c:pt idx="18">
                  <c:v>0.77695728288271981</c:v>
                </c:pt>
                <c:pt idx="19">
                  <c:v>0</c:v>
                </c:pt>
                <c:pt idx="20">
                  <c:v>9.416076997964401E-3</c:v>
                </c:pt>
                <c:pt idx="21">
                  <c:v>5.9413685050756747E-2</c:v>
                </c:pt>
                <c:pt idx="22">
                  <c:v>1.5212628216187554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0.56956494787206657</c:v>
                </c:pt>
                <c:pt idx="28">
                  <c:v>1.4227886503431906</c:v>
                </c:pt>
                <c:pt idx="29">
                  <c:v>0</c:v>
                </c:pt>
                <c:pt idx="30">
                  <c:v>6.8318864542965596E-2</c:v>
                </c:pt>
                <c:pt idx="31">
                  <c:v>4.4212398593474013E-2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9.416076997964401E-3</c:v>
                </c:pt>
                <c:pt idx="2">
                  <c:v>0.45713340099103539</c:v>
                </c:pt>
                <c:pt idx="3">
                  <c:v>0.29183566644801295</c:v>
                </c:pt>
                <c:pt idx="4">
                  <c:v>9.0042495975815378</c:v>
                </c:pt>
                <c:pt idx="5">
                  <c:v>0</c:v>
                </c:pt>
                <c:pt idx="6">
                  <c:v>10.638715801912847</c:v>
                </c:pt>
                <c:pt idx="7">
                  <c:v>9.416076997964401E-3</c:v>
                </c:pt>
                <c:pt idx="8">
                  <c:v>2.2780531556785459</c:v>
                </c:pt>
                <c:pt idx="9">
                  <c:v>4.4700986493837513</c:v>
                </c:pt>
                <c:pt idx="10">
                  <c:v>4.9019987719070279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4.0450139116398356</c:v>
                </c:pt>
                <c:pt idx="17">
                  <c:v>0</c:v>
                </c:pt>
                <c:pt idx="18">
                  <c:v>10.842576797318722</c:v>
                </c:pt>
                <c:pt idx="19">
                  <c:v>1.302260397757073E-2</c:v>
                </c:pt>
                <c:pt idx="20">
                  <c:v>0.13877506557154515</c:v>
                </c:pt>
                <c:pt idx="21">
                  <c:v>0.37623182333961291</c:v>
                </c:pt>
                <c:pt idx="22">
                  <c:v>1.7650004511393143</c:v>
                </c:pt>
                <c:pt idx="23">
                  <c:v>0</c:v>
                </c:pt>
                <c:pt idx="24">
                  <c:v>0</c:v>
                </c:pt>
                <c:pt idx="25">
                  <c:v>2.9205441133275271E-2</c:v>
                </c:pt>
                <c:pt idx="26">
                  <c:v>0</c:v>
                </c:pt>
                <c:pt idx="27">
                  <c:v>5.3952478187060651</c:v>
                </c:pt>
                <c:pt idx="28">
                  <c:v>4.9762171288358337</c:v>
                </c:pt>
                <c:pt idx="29">
                  <c:v>0</c:v>
                </c:pt>
                <c:pt idx="30">
                  <c:v>3.9176972513349589E-2</c:v>
                </c:pt>
                <c:pt idx="31">
                  <c:v>9.416076997964401E-3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1.8832153995928802E-2</c:v>
                </c:pt>
                <c:pt idx="2">
                  <c:v>0.20036090776065427</c:v>
                </c:pt>
                <c:pt idx="3">
                  <c:v>1.7554304118663562</c:v>
                </c:pt>
                <c:pt idx="4">
                  <c:v>0.93385036833851398</c:v>
                </c:pt>
                <c:pt idx="5">
                  <c:v>0.32399757685318609</c:v>
                </c:pt>
                <c:pt idx="6">
                  <c:v>1.186900667499446</c:v>
                </c:pt>
                <c:pt idx="7">
                  <c:v>0</c:v>
                </c:pt>
                <c:pt idx="8">
                  <c:v>1.3874399440066723</c:v>
                </c:pt>
                <c:pt idx="9">
                  <c:v>0.74133902250998063</c:v>
                </c:pt>
                <c:pt idx="10">
                  <c:v>0.56862280345588123</c:v>
                </c:pt>
                <c:pt idx="11">
                  <c:v>0.15568843022898277</c:v>
                </c:pt>
                <c:pt idx="12">
                  <c:v>4.425454495411691E-2</c:v>
                </c:pt>
                <c:pt idx="13">
                  <c:v>0</c:v>
                </c:pt>
                <c:pt idx="14">
                  <c:v>0</c:v>
                </c:pt>
                <c:pt idx="15">
                  <c:v>2.5363804127106766E-2</c:v>
                </c:pt>
                <c:pt idx="16">
                  <c:v>2.38896706634943</c:v>
                </c:pt>
                <c:pt idx="17">
                  <c:v>0.13672494079108632</c:v>
                </c:pt>
                <c:pt idx="18">
                  <c:v>1.7924063952135854</c:v>
                </c:pt>
                <c:pt idx="19">
                  <c:v>0</c:v>
                </c:pt>
                <c:pt idx="20">
                  <c:v>9.2052359682567822E-2</c:v>
                </c:pt>
                <c:pt idx="21">
                  <c:v>0.3840510560877235</c:v>
                </c:pt>
                <c:pt idx="22">
                  <c:v>1.7632576011995298</c:v>
                </c:pt>
                <c:pt idx="23">
                  <c:v>7.1492600375514498E-2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1.2645413070292411</c:v>
                </c:pt>
                <c:pt idx="28">
                  <c:v>1.9805657809108916</c:v>
                </c:pt>
                <c:pt idx="29">
                  <c:v>9.5844204473571074E-2</c:v>
                </c:pt>
                <c:pt idx="30">
                  <c:v>0.16969129490242657</c:v>
                </c:pt>
                <c:pt idx="31">
                  <c:v>1.5859310166131482E-2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5376768"/>
        <c:axId val="185378304"/>
      </c:barChart>
      <c:catAx>
        <c:axId val="18537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/>
            </a:pPr>
            <a:endParaRPr lang="en-US"/>
          </a:p>
        </c:txPr>
        <c:crossAx val="185378304"/>
        <c:crosses val="autoZero"/>
        <c:auto val="1"/>
        <c:lblAlgn val="ctr"/>
        <c:lblOffset val="100"/>
        <c:noMultiLvlLbl val="0"/>
      </c:catAx>
      <c:valAx>
        <c:axId val="185378304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5376768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broadleaves and conifers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data'!$E$103:$E$134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0.57199029269486679</c:v>
                </c:pt>
                <c:pt idx="3">
                  <c:v>0.55611778539448198</c:v>
                </c:pt>
                <c:pt idx="4">
                  <c:v>0.72491229522960243</c:v>
                </c:pt>
                <c:pt idx="5">
                  <c:v>0</c:v>
                </c:pt>
                <c:pt idx="6">
                  <c:v>3.2493874661669288E-2</c:v>
                </c:pt>
                <c:pt idx="7">
                  <c:v>0</c:v>
                </c:pt>
                <c:pt idx="8">
                  <c:v>0.11406930966515295</c:v>
                </c:pt>
                <c:pt idx="9">
                  <c:v>3.9662981327480626E-2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3.0126727316249605E-2</c:v>
                </c:pt>
                <c:pt idx="14">
                  <c:v>0</c:v>
                </c:pt>
                <c:pt idx="15">
                  <c:v>0</c:v>
                </c:pt>
                <c:pt idx="16">
                  <c:v>0.53572006289083285</c:v>
                </c:pt>
                <c:pt idx="17">
                  <c:v>0</c:v>
                </c:pt>
                <c:pt idx="18">
                  <c:v>0.7411729552847296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8.9751286516022113E-2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2.3719096880936514</c:v>
                </c:pt>
                <c:pt idx="28">
                  <c:v>2.2454214485140116</c:v>
                </c:pt>
                <c:pt idx="29">
                  <c:v>0</c:v>
                </c:pt>
                <c:pt idx="30">
                  <c:v>6.1027289750344424E-2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data'!$E$239:$E$270</c:f>
              <c:numCache>
                <c:formatCode>#,##0.00</c:formatCode>
                <c:ptCount val="32"/>
                <c:pt idx="0">
                  <c:v>0</c:v>
                </c:pt>
                <c:pt idx="1">
                  <c:v>6.0692702316770139E-2</c:v>
                </c:pt>
                <c:pt idx="2">
                  <c:v>1.6129213528639126</c:v>
                </c:pt>
                <c:pt idx="3">
                  <c:v>0.5391830096889263</c:v>
                </c:pt>
                <c:pt idx="4">
                  <c:v>6.7633891252415852</c:v>
                </c:pt>
                <c:pt idx="5">
                  <c:v>0</c:v>
                </c:pt>
                <c:pt idx="6">
                  <c:v>3.4547382590819504</c:v>
                </c:pt>
                <c:pt idx="7">
                  <c:v>0</c:v>
                </c:pt>
                <c:pt idx="8">
                  <c:v>3.9777455058333273</c:v>
                </c:pt>
                <c:pt idx="9">
                  <c:v>3.9826427258654928</c:v>
                </c:pt>
                <c:pt idx="10">
                  <c:v>1.4760357771528887</c:v>
                </c:pt>
                <c:pt idx="11">
                  <c:v>0</c:v>
                </c:pt>
                <c:pt idx="12">
                  <c:v>0</c:v>
                </c:pt>
                <c:pt idx="13">
                  <c:v>6.0778653869803398E-2</c:v>
                </c:pt>
                <c:pt idx="14">
                  <c:v>0</c:v>
                </c:pt>
                <c:pt idx="15">
                  <c:v>0</c:v>
                </c:pt>
                <c:pt idx="16">
                  <c:v>1.5483257330233218</c:v>
                </c:pt>
                <c:pt idx="17">
                  <c:v>0</c:v>
                </c:pt>
                <c:pt idx="18">
                  <c:v>11.238253167621801</c:v>
                </c:pt>
                <c:pt idx="19">
                  <c:v>0.20326391451382539</c:v>
                </c:pt>
                <c:pt idx="20">
                  <c:v>0.71431335103901805</c:v>
                </c:pt>
                <c:pt idx="21">
                  <c:v>0.18566623030040308</c:v>
                </c:pt>
                <c:pt idx="22">
                  <c:v>1.552313999565629</c:v>
                </c:pt>
                <c:pt idx="23">
                  <c:v>0</c:v>
                </c:pt>
                <c:pt idx="24">
                  <c:v>0</c:v>
                </c:pt>
                <c:pt idx="25">
                  <c:v>0.12248918766895303</c:v>
                </c:pt>
                <c:pt idx="26">
                  <c:v>0</c:v>
                </c:pt>
                <c:pt idx="27">
                  <c:v>13.452041853721022</c:v>
                </c:pt>
                <c:pt idx="28">
                  <c:v>11.423345785034099</c:v>
                </c:pt>
                <c:pt idx="29">
                  <c:v>0</c:v>
                </c:pt>
                <c:pt idx="30">
                  <c:v>0.20410240158849124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data'!$E$376:$E$407</c:f>
              <c:numCache>
                <c:formatCode>#,##0.00</c:formatCode>
                <c:ptCount val="32"/>
                <c:pt idx="0">
                  <c:v>0</c:v>
                </c:pt>
                <c:pt idx="1">
                  <c:v>0.38477584987768154</c:v>
                </c:pt>
                <c:pt idx="2">
                  <c:v>1.0315799047704455</c:v>
                </c:pt>
                <c:pt idx="3">
                  <c:v>0.70266036303982005</c:v>
                </c:pt>
                <c:pt idx="4">
                  <c:v>0.72380052861145083</c:v>
                </c:pt>
                <c:pt idx="5">
                  <c:v>3.0126727316249605E-2</c:v>
                </c:pt>
                <c:pt idx="6">
                  <c:v>0.59086929674777644</c:v>
                </c:pt>
                <c:pt idx="7">
                  <c:v>0</c:v>
                </c:pt>
                <c:pt idx="8">
                  <c:v>0.46372742769228381</c:v>
                </c:pt>
                <c:pt idx="9">
                  <c:v>0.56277097185500269</c:v>
                </c:pt>
                <c:pt idx="10">
                  <c:v>0.31706759682423102</c:v>
                </c:pt>
                <c:pt idx="11">
                  <c:v>6.7749044642236744E-2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1.4861196446865474</c:v>
                </c:pt>
                <c:pt idx="17">
                  <c:v>8.8037015478272876E-2</c:v>
                </c:pt>
                <c:pt idx="18">
                  <c:v>2.0663225133745504</c:v>
                </c:pt>
                <c:pt idx="19">
                  <c:v>3.025934516989574E-2</c:v>
                </c:pt>
                <c:pt idx="20">
                  <c:v>8.1047464107266404E-2</c:v>
                </c:pt>
                <c:pt idx="21">
                  <c:v>0.21539733343353568</c:v>
                </c:pt>
                <c:pt idx="22">
                  <c:v>0.8090583534947996</c:v>
                </c:pt>
                <c:pt idx="23">
                  <c:v>3.0126727316249605E-2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1.4948181949180226</c:v>
                </c:pt>
                <c:pt idx="28">
                  <c:v>2.8782240466330942</c:v>
                </c:pt>
                <c:pt idx="29">
                  <c:v>0.31180861505045188</c:v>
                </c:pt>
                <c:pt idx="30">
                  <c:v>7.0659316627713784E-2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653312"/>
        <c:axId val="184654848"/>
      </c:barChart>
      <c:catAx>
        <c:axId val="1846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4654848"/>
        <c:crosses val="autoZero"/>
        <c:auto val="1"/>
        <c:lblAlgn val="ctr"/>
        <c:lblOffset val="100"/>
        <c:noMultiLvlLbl val="0"/>
      </c:catAx>
      <c:valAx>
        <c:axId val="184654848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4653312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5346557014148"/>
          <c:y val="5.9819083486757858E-2"/>
          <c:w val="0.69010206578933941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data'!$E$103:$E$134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0.57199029269486679</c:v>
                </c:pt>
                <c:pt idx="3">
                  <c:v>0.55611778539448198</c:v>
                </c:pt>
                <c:pt idx="4">
                  <c:v>0.72491229522960243</c:v>
                </c:pt>
                <c:pt idx="5">
                  <c:v>0</c:v>
                </c:pt>
                <c:pt idx="6">
                  <c:v>3.2493874661669288E-2</c:v>
                </c:pt>
                <c:pt idx="7">
                  <c:v>0</c:v>
                </c:pt>
                <c:pt idx="8">
                  <c:v>0.11406930966515295</c:v>
                </c:pt>
                <c:pt idx="9">
                  <c:v>3.9662981327480626E-2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3.0126727316249605E-2</c:v>
                </c:pt>
                <c:pt idx="14">
                  <c:v>0</c:v>
                </c:pt>
                <c:pt idx="15">
                  <c:v>0</c:v>
                </c:pt>
                <c:pt idx="16">
                  <c:v>0.53572006289083285</c:v>
                </c:pt>
                <c:pt idx="17">
                  <c:v>0</c:v>
                </c:pt>
                <c:pt idx="18">
                  <c:v>0.7411729552847296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8.9751286516022113E-2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2.3719096880936514</c:v>
                </c:pt>
                <c:pt idx="28">
                  <c:v>2.2454214485140116</c:v>
                </c:pt>
                <c:pt idx="29">
                  <c:v>0</c:v>
                </c:pt>
                <c:pt idx="30">
                  <c:v>6.1027289750344424E-2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data'!$E$239:$E$270</c:f>
              <c:numCache>
                <c:formatCode>#,##0.00</c:formatCode>
                <c:ptCount val="32"/>
                <c:pt idx="0">
                  <c:v>0</c:v>
                </c:pt>
                <c:pt idx="1">
                  <c:v>6.0692702316770139E-2</c:v>
                </c:pt>
                <c:pt idx="2">
                  <c:v>1.6129213528639126</c:v>
                </c:pt>
                <c:pt idx="3">
                  <c:v>0.5391830096889263</c:v>
                </c:pt>
                <c:pt idx="4">
                  <c:v>6.7633891252415852</c:v>
                </c:pt>
                <c:pt idx="5">
                  <c:v>0</c:v>
                </c:pt>
                <c:pt idx="6">
                  <c:v>3.4547382590819504</c:v>
                </c:pt>
                <c:pt idx="7">
                  <c:v>0</c:v>
                </c:pt>
                <c:pt idx="8">
                  <c:v>3.9777455058333273</c:v>
                </c:pt>
                <c:pt idx="9">
                  <c:v>3.9826427258654928</c:v>
                </c:pt>
                <c:pt idx="10">
                  <c:v>1.4760357771528887</c:v>
                </c:pt>
                <c:pt idx="11">
                  <c:v>0</c:v>
                </c:pt>
                <c:pt idx="12">
                  <c:v>0</c:v>
                </c:pt>
                <c:pt idx="13">
                  <c:v>6.0778653869803398E-2</c:v>
                </c:pt>
                <c:pt idx="14">
                  <c:v>0</c:v>
                </c:pt>
                <c:pt idx="15">
                  <c:v>0</c:v>
                </c:pt>
                <c:pt idx="16">
                  <c:v>1.5483257330233218</c:v>
                </c:pt>
                <c:pt idx="17">
                  <c:v>0</c:v>
                </c:pt>
                <c:pt idx="18">
                  <c:v>11.238253167621801</c:v>
                </c:pt>
                <c:pt idx="19">
                  <c:v>0.20326391451382539</c:v>
                </c:pt>
                <c:pt idx="20">
                  <c:v>0.71431335103901805</c:v>
                </c:pt>
                <c:pt idx="21">
                  <c:v>0.18566623030040308</c:v>
                </c:pt>
                <c:pt idx="22">
                  <c:v>1.552313999565629</c:v>
                </c:pt>
                <c:pt idx="23">
                  <c:v>0</c:v>
                </c:pt>
                <c:pt idx="24">
                  <c:v>0</c:v>
                </c:pt>
                <c:pt idx="25">
                  <c:v>0.12248918766895303</c:v>
                </c:pt>
                <c:pt idx="26">
                  <c:v>0</c:v>
                </c:pt>
                <c:pt idx="27">
                  <c:v>13.452041853721022</c:v>
                </c:pt>
                <c:pt idx="28">
                  <c:v>11.423345785034099</c:v>
                </c:pt>
                <c:pt idx="29">
                  <c:v>0</c:v>
                </c:pt>
                <c:pt idx="30">
                  <c:v>0.20410240158849124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data'!$E$376:$E$407</c:f>
              <c:numCache>
                <c:formatCode>#,##0.00</c:formatCode>
                <c:ptCount val="32"/>
                <c:pt idx="0">
                  <c:v>0</c:v>
                </c:pt>
                <c:pt idx="1">
                  <c:v>0.38477584987768154</c:v>
                </c:pt>
                <c:pt idx="2">
                  <c:v>1.0315799047704455</c:v>
                </c:pt>
                <c:pt idx="3">
                  <c:v>0.70266036303982005</c:v>
                </c:pt>
                <c:pt idx="4">
                  <c:v>0.72380052861145083</c:v>
                </c:pt>
                <c:pt idx="5">
                  <c:v>3.0126727316249605E-2</c:v>
                </c:pt>
                <c:pt idx="6">
                  <c:v>0.59086929674777644</c:v>
                </c:pt>
                <c:pt idx="7">
                  <c:v>0</c:v>
                </c:pt>
                <c:pt idx="8">
                  <c:v>0.46372742769228381</c:v>
                </c:pt>
                <c:pt idx="9">
                  <c:v>0.56277097185500269</c:v>
                </c:pt>
                <c:pt idx="10">
                  <c:v>0.31706759682423102</c:v>
                </c:pt>
                <c:pt idx="11">
                  <c:v>6.7749044642236744E-2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1.4861196446865474</c:v>
                </c:pt>
                <c:pt idx="17">
                  <c:v>8.8037015478272876E-2</c:v>
                </c:pt>
                <c:pt idx="18">
                  <c:v>2.0663225133745504</c:v>
                </c:pt>
                <c:pt idx="19">
                  <c:v>3.025934516989574E-2</c:v>
                </c:pt>
                <c:pt idx="20">
                  <c:v>8.1047464107266404E-2</c:v>
                </c:pt>
                <c:pt idx="21">
                  <c:v>0.21539733343353568</c:v>
                </c:pt>
                <c:pt idx="22">
                  <c:v>0.8090583534947996</c:v>
                </c:pt>
                <c:pt idx="23">
                  <c:v>3.0126727316249605E-2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1.4948181949180226</c:v>
                </c:pt>
                <c:pt idx="28">
                  <c:v>2.8782240466330942</c:v>
                </c:pt>
                <c:pt idx="29">
                  <c:v>0.31180861505045188</c:v>
                </c:pt>
                <c:pt idx="30">
                  <c:v>7.0659316627713784E-2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5212288"/>
        <c:axId val="185234560"/>
      </c:barChart>
      <c:catAx>
        <c:axId val="1852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aseline="0"/>
            </a:pPr>
            <a:endParaRPr lang="en-US"/>
          </a:p>
        </c:txPr>
        <c:crossAx val="185234560"/>
        <c:crosses val="autoZero"/>
        <c:auto val="1"/>
        <c:lblAlgn val="ctr"/>
        <c:lblOffset val="100"/>
        <c:noMultiLvlLbl val="0"/>
      </c:catAx>
      <c:valAx>
        <c:axId val="185234560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5212288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neither broadleaves nor conifers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data'!$E$136:$E$167</c:f>
              <c:numCache>
                <c:formatCode>#,##0.00</c:formatCode>
                <c:ptCount val="32"/>
                <c:pt idx="0">
                  <c:v>0</c:v>
                </c:pt>
                <c:pt idx="1">
                  <c:v>3.285868270220086E-2</c:v>
                </c:pt>
                <c:pt idx="2">
                  <c:v>1.2586459598442991E-2</c:v>
                </c:pt>
                <c:pt idx="3">
                  <c:v>1.9534816816380161</c:v>
                </c:pt>
                <c:pt idx="4">
                  <c:v>2.4453879996757997</c:v>
                </c:pt>
                <c:pt idx="5">
                  <c:v>0</c:v>
                </c:pt>
                <c:pt idx="6">
                  <c:v>3.4970960437660507E-2</c:v>
                </c:pt>
                <c:pt idx="7">
                  <c:v>1.0359509630487235E-2</c:v>
                </c:pt>
                <c:pt idx="8">
                  <c:v>3.0910529342526923E-2</c:v>
                </c:pt>
                <c:pt idx="9">
                  <c:v>0.62292725847446806</c:v>
                </c:pt>
                <c:pt idx="10">
                  <c:v>6.8610177020696092E-2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8.7322587322704344</c:v>
                </c:pt>
                <c:pt idx="17">
                  <c:v>0</c:v>
                </c:pt>
                <c:pt idx="18">
                  <c:v>0.12937488611905573</c:v>
                </c:pt>
                <c:pt idx="19">
                  <c:v>1.0758004889487693E-2</c:v>
                </c:pt>
                <c:pt idx="20">
                  <c:v>0.13881226900364607</c:v>
                </c:pt>
                <c:pt idx="21">
                  <c:v>2.8919286524389045E-2</c:v>
                </c:pt>
                <c:pt idx="22">
                  <c:v>0.28686270409930387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2.2443820797422524E-2</c:v>
                </c:pt>
                <c:pt idx="28">
                  <c:v>1.1710824651361062E-2</c:v>
                </c:pt>
                <c:pt idx="29">
                  <c:v>0</c:v>
                </c:pt>
                <c:pt idx="30">
                  <c:v>0.1017496401731357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data'!$E$272:$E$303</c:f>
              <c:numCache>
                <c:formatCode>#,##0.00</c:formatCode>
                <c:ptCount val="32"/>
                <c:pt idx="0">
                  <c:v>0</c:v>
                </c:pt>
                <c:pt idx="1">
                  <c:v>1.0278973870214106E-2</c:v>
                </c:pt>
                <c:pt idx="2">
                  <c:v>0</c:v>
                </c:pt>
                <c:pt idx="3">
                  <c:v>0.11292921661796249</c:v>
                </c:pt>
                <c:pt idx="4">
                  <c:v>5.6502257620524379</c:v>
                </c:pt>
                <c:pt idx="5">
                  <c:v>0</c:v>
                </c:pt>
                <c:pt idx="6">
                  <c:v>1.5099617314840989E-2</c:v>
                </c:pt>
                <c:pt idx="7">
                  <c:v>1.0278973870214106E-2</c:v>
                </c:pt>
                <c:pt idx="8">
                  <c:v>0.9614683054662353</c:v>
                </c:pt>
                <c:pt idx="9">
                  <c:v>2.8514737258148246</c:v>
                </c:pt>
                <c:pt idx="10">
                  <c:v>0.57568037651795767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3.7852948294469524</c:v>
                </c:pt>
                <c:pt idx="17">
                  <c:v>0</c:v>
                </c:pt>
                <c:pt idx="18">
                  <c:v>0.29357651867237294</c:v>
                </c:pt>
                <c:pt idx="19">
                  <c:v>1.9019349815639085E-2</c:v>
                </c:pt>
                <c:pt idx="20">
                  <c:v>0.18641609860677361</c:v>
                </c:pt>
                <c:pt idx="21">
                  <c:v>0</c:v>
                </c:pt>
                <c:pt idx="22">
                  <c:v>3.9624467767157709E-2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8.169334747346943E-2</c:v>
                </c:pt>
                <c:pt idx="28">
                  <c:v>5.8352953459191344E-2</c:v>
                </c:pt>
                <c:pt idx="29">
                  <c:v>0</c:v>
                </c:pt>
                <c:pt idx="30">
                  <c:v>3.2764671207183876E-2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data'!$E$409:$E$440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3.9331424501091776E-2</c:v>
                </c:pt>
                <c:pt idx="4">
                  <c:v>0.87125007045555614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0.13200662207802058</c:v>
                </c:pt>
                <c:pt idx="9">
                  <c:v>0.18769532718389559</c:v>
                </c:pt>
                <c:pt idx="10">
                  <c:v>1.9414226875837232E-2</c:v>
                </c:pt>
                <c:pt idx="11">
                  <c:v>0</c:v>
                </c:pt>
                <c:pt idx="12">
                  <c:v>3.7621486360860046E-2</c:v>
                </c:pt>
                <c:pt idx="13">
                  <c:v>1.0278973870214106E-2</c:v>
                </c:pt>
                <c:pt idx="14">
                  <c:v>0</c:v>
                </c:pt>
                <c:pt idx="15">
                  <c:v>0</c:v>
                </c:pt>
                <c:pt idx="16">
                  <c:v>1.3927273208452053</c:v>
                </c:pt>
                <c:pt idx="17">
                  <c:v>0</c:v>
                </c:pt>
                <c:pt idx="18">
                  <c:v>0.26212599371654821</c:v>
                </c:pt>
                <c:pt idx="19">
                  <c:v>1.0278973870214106E-2</c:v>
                </c:pt>
                <c:pt idx="20">
                  <c:v>2.0557947740428212E-2</c:v>
                </c:pt>
                <c:pt idx="21">
                  <c:v>0</c:v>
                </c:pt>
                <c:pt idx="22">
                  <c:v>0.14957550589083371</c:v>
                </c:pt>
                <c:pt idx="23">
                  <c:v>5.441178929787386E-2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5.7214762682542539E-2</c:v>
                </c:pt>
                <c:pt idx="28">
                  <c:v>1.0278973870214106E-2</c:v>
                </c:pt>
                <c:pt idx="29">
                  <c:v>0</c:v>
                </c:pt>
                <c:pt idx="30">
                  <c:v>2.9781517689544214E-2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5275520"/>
        <c:axId val="185277056"/>
      </c:barChart>
      <c:catAx>
        <c:axId val="1852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5277056"/>
        <c:crosses val="autoZero"/>
        <c:auto val="1"/>
        <c:lblAlgn val="ctr"/>
        <c:lblOffset val="100"/>
        <c:noMultiLvlLbl val="0"/>
      </c:catAx>
      <c:valAx>
        <c:axId val="185277056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5275520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4.397922252118202E-2"/>
          <c:w val="0.73009145985935631"/>
          <c:h val="0.621067228895612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data'!$E$136:$E$167</c:f>
              <c:numCache>
                <c:formatCode>#,##0.00</c:formatCode>
                <c:ptCount val="32"/>
                <c:pt idx="0">
                  <c:v>0</c:v>
                </c:pt>
                <c:pt idx="1">
                  <c:v>3.285868270220086E-2</c:v>
                </c:pt>
                <c:pt idx="2">
                  <c:v>1.2586459598442991E-2</c:v>
                </c:pt>
                <c:pt idx="3">
                  <c:v>1.9534816816380161</c:v>
                </c:pt>
                <c:pt idx="4">
                  <c:v>2.4453879996757997</c:v>
                </c:pt>
                <c:pt idx="5">
                  <c:v>0</c:v>
                </c:pt>
                <c:pt idx="6">
                  <c:v>3.4970960437660507E-2</c:v>
                </c:pt>
                <c:pt idx="7">
                  <c:v>1.0359509630487235E-2</c:v>
                </c:pt>
                <c:pt idx="8">
                  <c:v>3.0910529342526923E-2</c:v>
                </c:pt>
                <c:pt idx="9">
                  <c:v>0.62292725847446806</c:v>
                </c:pt>
                <c:pt idx="10">
                  <c:v>6.8610177020696092E-2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8.7322587322704344</c:v>
                </c:pt>
                <c:pt idx="17">
                  <c:v>0</c:v>
                </c:pt>
                <c:pt idx="18">
                  <c:v>0.12937488611905573</c:v>
                </c:pt>
                <c:pt idx="19">
                  <c:v>1.0758004889487693E-2</c:v>
                </c:pt>
                <c:pt idx="20">
                  <c:v>0.13881226900364607</c:v>
                </c:pt>
                <c:pt idx="21">
                  <c:v>2.8919286524389045E-2</c:v>
                </c:pt>
                <c:pt idx="22">
                  <c:v>0.28686270409930387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2.2443820797422524E-2</c:v>
                </c:pt>
                <c:pt idx="28">
                  <c:v>1.1710824651361062E-2</c:v>
                </c:pt>
                <c:pt idx="29">
                  <c:v>0</c:v>
                </c:pt>
                <c:pt idx="30">
                  <c:v>0.1017496401731357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data'!$E$272:$E$303</c:f>
              <c:numCache>
                <c:formatCode>#,##0.00</c:formatCode>
                <c:ptCount val="32"/>
                <c:pt idx="0">
                  <c:v>0</c:v>
                </c:pt>
                <c:pt idx="1">
                  <c:v>1.0278973870214106E-2</c:v>
                </c:pt>
                <c:pt idx="2">
                  <c:v>0</c:v>
                </c:pt>
                <c:pt idx="3">
                  <c:v>0.11292921661796249</c:v>
                </c:pt>
                <c:pt idx="4">
                  <c:v>5.6502257620524379</c:v>
                </c:pt>
                <c:pt idx="5">
                  <c:v>0</c:v>
                </c:pt>
                <c:pt idx="6">
                  <c:v>1.5099617314840989E-2</c:v>
                </c:pt>
                <c:pt idx="7">
                  <c:v>1.0278973870214106E-2</c:v>
                </c:pt>
                <c:pt idx="8">
                  <c:v>0.9614683054662353</c:v>
                </c:pt>
                <c:pt idx="9">
                  <c:v>2.8514737258148246</c:v>
                </c:pt>
                <c:pt idx="10">
                  <c:v>0.57568037651795767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3.7852948294469524</c:v>
                </c:pt>
                <c:pt idx="17">
                  <c:v>0</c:v>
                </c:pt>
                <c:pt idx="18">
                  <c:v>0.29357651867237294</c:v>
                </c:pt>
                <c:pt idx="19">
                  <c:v>1.9019349815639085E-2</c:v>
                </c:pt>
                <c:pt idx="20">
                  <c:v>0.18641609860677361</c:v>
                </c:pt>
                <c:pt idx="21">
                  <c:v>0</c:v>
                </c:pt>
                <c:pt idx="22">
                  <c:v>3.9624467767157709E-2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8.169334747346943E-2</c:v>
                </c:pt>
                <c:pt idx="28">
                  <c:v>5.8352953459191344E-2</c:v>
                </c:pt>
                <c:pt idx="29">
                  <c:v>0</c:v>
                </c:pt>
                <c:pt idx="30">
                  <c:v>3.2764671207183876E-2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data'!$E$409:$E$440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3.9331424501091776E-2</c:v>
                </c:pt>
                <c:pt idx="4">
                  <c:v>0.87125007045555614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0.13200662207802058</c:v>
                </c:pt>
                <c:pt idx="9">
                  <c:v>0.18769532718389559</c:v>
                </c:pt>
                <c:pt idx="10">
                  <c:v>1.9414226875837232E-2</c:v>
                </c:pt>
                <c:pt idx="11">
                  <c:v>0</c:v>
                </c:pt>
                <c:pt idx="12">
                  <c:v>3.7621486360860046E-2</c:v>
                </c:pt>
                <c:pt idx="13">
                  <c:v>1.0278973870214106E-2</c:v>
                </c:pt>
                <c:pt idx="14">
                  <c:v>0</c:v>
                </c:pt>
                <c:pt idx="15">
                  <c:v>0</c:v>
                </c:pt>
                <c:pt idx="16">
                  <c:v>1.3927273208452053</c:v>
                </c:pt>
                <c:pt idx="17">
                  <c:v>0</c:v>
                </c:pt>
                <c:pt idx="18">
                  <c:v>0.26212599371654821</c:v>
                </c:pt>
                <c:pt idx="19">
                  <c:v>1.0278973870214106E-2</c:v>
                </c:pt>
                <c:pt idx="20">
                  <c:v>2.0557947740428212E-2</c:v>
                </c:pt>
                <c:pt idx="21">
                  <c:v>0</c:v>
                </c:pt>
                <c:pt idx="22">
                  <c:v>0.14957550589083371</c:v>
                </c:pt>
                <c:pt idx="23">
                  <c:v>5.441178929787386E-2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5.7214762682542539E-2</c:v>
                </c:pt>
                <c:pt idx="28">
                  <c:v>1.0278973870214106E-2</c:v>
                </c:pt>
                <c:pt idx="29">
                  <c:v>0</c:v>
                </c:pt>
                <c:pt idx="30">
                  <c:v>2.9781517689544214E-2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974720"/>
        <c:axId val="184980608"/>
      </c:barChart>
      <c:catAx>
        <c:axId val="1849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aseline="0"/>
            </a:pPr>
            <a:endParaRPr lang="en-US"/>
          </a:p>
        </c:txPr>
        <c:crossAx val="184980608"/>
        <c:crosses val="autoZero"/>
        <c:auto val="1"/>
        <c:lblAlgn val="ctr"/>
        <c:lblOffset val="100"/>
        <c:noMultiLvlLbl val="0"/>
      </c:catAx>
      <c:valAx>
        <c:axId val="184980608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4974720"/>
        <c:crosses val="autoZero"/>
        <c:crossBetween val="between"/>
        <c:majorUnit val="5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Evidence of thinning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0.10847457627118644"/>
          <c:w val="0.75284384694932782"/>
          <c:h val="0.750847457627118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'Thinning data'!$B$34</c:f>
              <c:strCache>
                <c:ptCount val="1"/>
                <c:pt idx="0">
                  <c:v>Thinning &lt;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data'!$E$37:$E$47</c:f>
              <c:numCache>
                <c:formatCode>#,##0.00</c:formatCode>
                <c:ptCount val="11"/>
                <c:pt idx="0">
                  <c:v>1.4039564586829538</c:v>
                </c:pt>
                <c:pt idx="1">
                  <c:v>0.56956494787206657</c:v>
                </c:pt>
                <c:pt idx="3">
                  <c:v>2.1849276509119546</c:v>
                </c:pt>
                <c:pt idx="4">
                  <c:v>0.7824986019366974</c:v>
                </c:pt>
                <c:pt idx="6">
                  <c:v>2.3059303519585974</c:v>
                </c:pt>
                <c:pt idx="7">
                  <c:v>2.5482787930940418</c:v>
                </c:pt>
                <c:pt idx="9">
                  <c:v>1.2796700676862572E-2</c:v>
                </c:pt>
                <c:pt idx="10">
                  <c:v>2.4524904551139291E-2</c:v>
                </c:pt>
              </c:numCache>
            </c:numRef>
          </c:val>
        </c:ser>
        <c:ser>
          <c:idx val="1"/>
          <c:order val="1"/>
          <c:tx>
            <c:strRef>
              <c:f>'Thinning data'!$B$50</c:f>
              <c:strCache>
                <c:ptCount val="1"/>
                <c:pt idx="0">
                  <c:v>Thinning &gt;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data'!$E$53:$E$63</c:f>
              <c:numCache>
                <c:formatCode>#,##0.00</c:formatCode>
                <c:ptCount val="11"/>
                <c:pt idx="0">
                  <c:v>4.7735067968712634</c:v>
                </c:pt>
                <c:pt idx="1">
                  <c:v>5.3952478187060651</c:v>
                </c:pt>
                <c:pt idx="3">
                  <c:v>10.947138718438776</c:v>
                </c:pt>
                <c:pt idx="4">
                  <c:v>17.334830879751642</c:v>
                </c:pt>
                <c:pt idx="6">
                  <c:v>10.382913899341156</c:v>
                </c:pt>
                <c:pt idx="7">
                  <c:v>13.433807343987484</c:v>
                </c:pt>
                <c:pt idx="9">
                  <c:v>6.3763680292265118E-2</c:v>
                </c:pt>
                <c:pt idx="10">
                  <c:v>8.9268292031630392E-2</c:v>
                </c:pt>
              </c:numCache>
            </c:numRef>
          </c:val>
        </c:ser>
        <c:ser>
          <c:idx val="2"/>
          <c:order val="2"/>
          <c:tx>
            <c:strRef>
              <c:f>'Thinning data'!$B$66</c:f>
              <c:strCache>
                <c:ptCount val="1"/>
                <c:pt idx="0">
                  <c:v>Thinning &lt; 3 years AND &gt; 3 years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data'!$E$69:$E$79</c:f>
              <c:numCache>
                <c:formatCode>#,##0.00</c:formatCode>
                <c:ptCount val="11"/>
                <c:pt idx="0">
                  <c:v>1.4718566185300512</c:v>
                </c:pt>
                <c:pt idx="1">
                  <c:v>1.2645413070292411</c:v>
                </c:pt>
                <c:pt idx="3">
                  <c:v>2.0207903466827415</c:v>
                </c:pt>
                <c:pt idx="4">
                  <c:v>2.2351440735374575</c:v>
                </c:pt>
                <c:pt idx="6">
                  <c:v>2.1825067251014953</c:v>
                </c:pt>
                <c:pt idx="7">
                  <c:v>1.5698365956190623</c:v>
                </c:pt>
                <c:pt idx="9">
                  <c:v>1.1232082777973624E-2</c:v>
                </c:pt>
                <c:pt idx="10">
                  <c:v>6.2519951766260115E-2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5491456"/>
        <c:axId val="185492992"/>
      </c:barChart>
      <c:catAx>
        <c:axId val="1854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492992"/>
        <c:crosses val="autoZero"/>
        <c:auto val="1"/>
        <c:lblAlgn val="ctr"/>
        <c:lblOffset val="100"/>
        <c:noMultiLvlLbl val="0"/>
      </c:catAx>
      <c:valAx>
        <c:axId val="1854929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PS sections (of type)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491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98345398138575"/>
          <c:y val="0.28983050847457625"/>
          <c:w val="0.14477766287487071"/>
          <c:h val="0.3881355932203389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95966907962769E-2"/>
          <c:y val="0.10847457627118644"/>
          <c:w val="0.75284384694932782"/>
          <c:h val="0.750847457627118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'Thinning data'!$B$34</c:f>
              <c:strCache>
                <c:ptCount val="1"/>
                <c:pt idx="0">
                  <c:v>Thinning &lt;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data'!$E$37:$E$47</c:f>
              <c:numCache>
                <c:formatCode>#,##0.00</c:formatCode>
                <c:ptCount val="11"/>
                <c:pt idx="0">
                  <c:v>1.4039564586829538</c:v>
                </c:pt>
                <c:pt idx="1">
                  <c:v>0.56956494787206657</c:v>
                </c:pt>
                <c:pt idx="3">
                  <c:v>2.1849276509119546</c:v>
                </c:pt>
                <c:pt idx="4">
                  <c:v>0.7824986019366974</c:v>
                </c:pt>
                <c:pt idx="6">
                  <c:v>2.3059303519585974</c:v>
                </c:pt>
                <c:pt idx="7">
                  <c:v>2.5482787930940418</c:v>
                </c:pt>
                <c:pt idx="9">
                  <c:v>1.2796700676862572E-2</c:v>
                </c:pt>
                <c:pt idx="10">
                  <c:v>2.4524904551139291E-2</c:v>
                </c:pt>
              </c:numCache>
            </c:numRef>
          </c:val>
        </c:ser>
        <c:ser>
          <c:idx val="1"/>
          <c:order val="1"/>
          <c:tx>
            <c:strRef>
              <c:f>'Thinning data'!$B$50</c:f>
              <c:strCache>
                <c:ptCount val="1"/>
                <c:pt idx="0">
                  <c:v>Thinning &gt;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data'!$E$53:$E$63</c:f>
              <c:numCache>
                <c:formatCode>#,##0.00</c:formatCode>
                <c:ptCount val="11"/>
                <c:pt idx="0">
                  <c:v>4.7735067968712634</c:v>
                </c:pt>
                <c:pt idx="1">
                  <c:v>5.3952478187060651</c:v>
                </c:pt>
                <c:pt idx="3">
                  <c:v>10.947138718438776</c:v>
                </c:pt>
                <c:pt idx="4">
                  <c:v>17.334830879751642</c:v>
                </c:pt>
                <c:pt idx="6">
                  <c:v>10.382913899341156</c:v>
                </c:pt>
                <c:pt idx="7">
                  <c:v>13.433807343987484</c:v>
                </c:pt>
                <c:pt idx="9">
                  <c:v>6.3763680292265118E-2</c:v>
                </c:pt>
                <c:pt idx="10">
                  <c:v>8.9268292031630392E-2</c:v>
                </c:pt>
              </c:numCache>
            </c:numRef>
          </c:val>
        </c:ser>
        <c:ser>
          <c:idx val="2"/>
          <c:order val="2"/>
          <c:tx>
            <c:strRef>
              <c:f>'Thinning data'!$B$66</c:f>
              <c:strCache>
                <c:ptCount val="1"/>
                <c:pt idx="0">
                  <c:v>Thinning &lt; 3 years AND &gt; 3 years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data'!$E$69:$E$79</c:f>
              <c:numCache>
                <c:formatCode>#,##0.00</c:formatCode>
                <c:ptCount val="11"/>
                <c:pt idx="0">
                  <c:v>1.4718566185300512</c:v>
                </c:pt>
                <c:pt idx="1">
                  <c:v>1.2645413070292411</c:v>
                </c:pt>
                <c:pt idx="3">
                  <c:v>2.0207903466827415</c:v>
                </c:pt>
                <c:pt idx="4">
                  <c:v>2.2351440735374575</c:v>
                </c:pt>
                <c:pt idx="6">
                  <c:v>2.1825067251014953</c:v>
                </c:pt>
                <c:pt idx="7">
                  <c:v>1.5698365956190623</c:v>
                </c:pt>
                <c:pt idx="9">
                  <c:v>1.1232082777973624E-2</c:v>
                </c:pt>
                <c:pt idx="10">
                  <c:v>6.2519951766260115E-2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940032"/>
        <c:axId val="184941568"/>
      </c:barChart>
      <c:catAx>
        <c:axId val="1849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41568"/>
        <c:crosses val="autoZero"/>
        <c:auto val="1"/>
        <c:lblAlgn val="ctr"/>
        <c:lblOffset val="100"/>
        <c:noMultiLvlLbl val="0"/>
      </c:catAx>
      <c:valAx>
        <c:axId val="184941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1400"/>
                  <a:t>percentage of PS sections (of type)</a:t>
                </a:r>
              </a:p>
            </c:rich>
          </c:tx>
          <c:layout>
            <c:manualLayout>
              <c:xMode val="edge"/>
              <c:yMode val="edge"/>
              <c:x val="1.5083032502622913E-2"/>
              <c:y val="0.25907776429065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40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98345398138575"/>
          <c:y val="0.28983050847457625"/>
          <c:w val="0.14477766287487071"/>
          <c:h val="0.38813559322033897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Suitability for harvesting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9.8305084745762716E-2"/>
          <c:w val="0.73422957600827299"/>
          <c:h val="0.664406779661016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'Harvesting data'!$C$15</c:f>
              <c:strCache>
                <c:ptCount val="1"/>
                <c:pt idx="0">
                  <c:v>Wheeled vehicle 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data'!$C$16:$C$20</c:f>
              <c:numCache>
                <c:formatCode>0.0%</c:formatCode>
                <c:ptCount val="5"/>
                <c:pt idx="0">
                  <c:v>0.9078644501278772</c:v>
                </c:pt>
                <c:pt idx="1">
                  <c:v>0.90787162701580715</c:v>
                </c:pt>
                <c:pt idx="2">
                  <c:v>0.91757246376811596</c:v>
                </c:pt>
                <c:pt idx="3">
                  <c:v>0.91067230841560887</c:v>
                </c:pt>
                <c:pt idx="4">
                  <c:v>0.90514155548324116</c:v>
                </c:pt>
              </c:numCache>
            </c:numRef>
          </c:val>
        </c:ser>
        <c:ser>
          <c:idx val="1"/>
          <c:order val="1"/>
          <c:tx>
            <c:strRef>
              <c:f>'Harvesting data'!$D$15</c:f>
              <c:strCache>
                <c:ptCount val="1"/>
                <c:pt idx="0">
                  <c:v>Tracked vehicle only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data'!$D$16:$D$20</c:f>
              <c:numCache>
                <c:formatCode>0.0%</c:formatCode>
                <c:ptCount val="5"/>
                <c:pt idx="0">
                  <c:v>5.3452685421994883E-2</c:v>
                </c:pt>
                <c:pt idx="1">
                  <c:v>5.5085422321571133E-2</c:v>
                </c:pt>
                <c:pt idx="2">
                  <c:v>3.2608695652173912E-2</c:v>
                </c:pt>
                <c:pt idx="3">
                  <c:v>5.8298072402444757E-2</c:v>
                </c:pt>
                <c:pt idx="4">
                  <c:v>5.3856166612430846E-2</c:v>
                </c:pt>
              </c:numCache>
            </c:numRef>
          </c:val>
        </c:ser>
        <c:ser>
          <c:idx val="2"/>
          <c:order val="2"/>
          <c:tx>
            <c:strRef>
              <c:f>'Harvesting data'!$E$15</c:f>
              <c:strCache>
                <c:ptCount val="1"/>
                <c:pt idx="0">
                  <c:v>Sky line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data'!$E$16:$E$20</c:f>
              <c:numCache>
                <c:formatCode>0.0%</c:formatCode>
                <c:ptCount val="5"/>
                <c:pt idx="0">
                  <c:v>8.8235294117647058E-3</c:v>
                </c:pt>
                <c:pt idx="1">
                  <c:v>9.5800734472297616E-3</c:v>
                </c:pt>
                <c:pt idx="2">
                  <c:v>1.177536231884058E-2</c:v>
                </c:pt>
                <c:pt idx="3">
                  <c:v>8.9327691584391161E-3</c:v>
                </c:pt>
                <c:pt idx="4">
                  <c:v>7.4845427920598763E-3</c:v>
                </c:pt>
              </c:numCache>
            </c:numRef>
          </c:val>
        </c:ser>
        <c:ser>
          <c:idx val="3"/>
          <c:order val="3"/>
          <c:tx>
            <c:strRef>
              <c:f>'Harvesting data'!$F$15</c:f>
              <c:strCache>
                <c:ptCount val="1"/>
                <c:pt idx="0">
                  <c:v>Mechanised harvesting impossible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data'!$F$16:$F$20</c:f>
              <c:numCache>
                <c:formatCode>0.0%</c:formatCode>
                <c:ptCount val="5"/>
                <c:pt idx="0">
                  <c:v>2.3273657289002558E-2</c:v>
                </c:pt>
                <c:pt idx="1">
                  <c:v>2.4109851508861569E-2</c:v>
                </c:pt>
                <c:pt idx="2">
                  <c:v>2.4456521739130436E-2</c:v>
                </c:pt>
                <c:pt idx="3">
                  <c:v>1.5984955336154207E-2</c:v>
                </c:pt>
                <c:pt idx="4">
                  <c:v>2.4731532704197853E-2</c:v>
                </c:pt>
              </c:numCache>
            </c:numRef>
          </c:val>
        </c:ser>
        <c:ser>
          <c:idx val="4"/>
          <c:order val="4"/>
          <c:tx>
            <c:strRef>
              <c:f>'Harvesting data'!$G$15</c:f>
              <c:strCache>
                <c:ptCount val="1"/>
                <c:pt idx="0">
                  <c:v>Not possible to assess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Pt>
            <c:idx val="4"/>
            <c:invertIfNegative val="0"/>
            <c:bubble3D val="0"/>
          </c:dPt>
          <c:val>
            <c:numRef>
              <c:f>'Harvesting data'!$G$16:$G$20</c:f>
              <c:numCache>
                <c:formatCode>0.0%</c:formatCode>
                <c:ptCount val="5"/>
                <c:pt idx="0">
                  <c:v>6.5856777493606142E-3</c:v>
                </c:pt>
                <c:pt idx="1">
                  <c:v>3.3530257065304166E-3</c:v>
                </c:pt>
                <c:pt idx="2">
                  <c:v>1.358695652173913E-2</c:v>
                </c:pt>
                <c:pt idx="3">
                  <c:v>6.1118946873530795E-3</c:v>
                </c:pt>
                <c:pt idx="4">
                  <c:v>8.7862024080702893E-3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5926016"/>
        <c:axId val="185927552"/>
      </c:barChart>
      <c:catAx>
        <c:axId val="1859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927552"/>
        <c:crosses val="autoZero"/>
        <c:auto val="1"/>
        <c:lblAlgn val="ctr"/>
        <c:lblOffset val="100"/>
        <c:noMultiLvlLbl val="0"/>
      </c:catAx>
      <c:valAx>
        <c:axId val="18592755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</a:t>
                </a:r>
                <a:r>
                  <a:rPr lang="en-GB" baseline="0"/>
                  <a:t> </a:t>
                </a:r>
                <a:r>
                  <a:rPr lang="en-GB"/>
                  <a:t>of sections (by type) on the private sector estate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926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89382570781522"/>
          <c:y val="0.17184344119994405"/>
          <c:w val="0.17410617429218481"/>
          <c:h val="0.52369445198660514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95966907962769E-2"/>
          <c:y val="9.8305084745762716E-2"/>
          <c:w val="0.73422957600827299"/>
          <c:h val="0.664406779661016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'Harvesting data'!$C$15</c:f>
              <c:strCache>
                <c:ptCount val="1"/>
                <c:pt idx="0">
                  <c:v>Wheeled vehicle 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data'!$C$16:$C$20</c:f>
              <c:numCache>
                <c:formatCode>0.0%</c:formatCode>
                <c:ptCount val="5"/>
                <c:pt idx="0">
                  <c:v>0.9078644501278772</c:v>
                </c:pt>
                <c:pt idx="1">
                  <c:v>0.90787162701580715</c:v>
                </c:pt>
                <c:pt idx="2">
                  <c:v>0.91757246376811596</c:v>
                </c:pt>
                <c:pt idx="3">
                  <c:v>0.91067230841560887</c:v>
                </c:pt>
                <c:pt idx="4">
                  <c:v>0.90514155548324116</c:v>
                </c:pt>
              </c:numCache>
            </c:numRef>
          </c:val>
        </c:ser>
        <c:ser>
          <c:idx val="1"/>
          <c:order val="1"/>
          <c:tx>
            <c:strRef>
              <c:f>'Harvesting data'!$D$15</c:f>
              <c:strCache>
                <c:ptCount val="1"/>
                <c:pt idx="0">
                  <c:v>Tracked vehicle only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data'!$D$16:$D$20</c:f>
              <c:numCache>
                <c:formatCode>0.0%</c:formatCode>
                <c:ptCount val="5"/>
                <c:pt idx="0">
                  <c:v>5.3452685421994883E-2</c:v>
                </c:pt>
                <c:pt idx="1">
                  <c:v>5.5085422321571133E-2</c:v>
                </c:pt>
                <c:pt idx="2">
                  <c:v>3.2608695652173912E-2</c:v>
                </c:pt>
                <c:pt idx="3">
                  <c:v>5.8298072402444757E-2</c:v>
                </c:pt>
                <c:pt idx="4">
                  <c:v>5.3856166612430846E-2</c:v>
                </c:pt>
              </c:numCache>
            </c:numRef>
          </c:val>
        </c:ser>
        <c:ser>
          <c:idx val="2"/>
          <c:order val="2"/>
          <c:tx>
            <c:strRef>
              <c:f>'Harvesting data'!$E$15</c:f>
              <c:strCache>
                <c:ptCount val="1"/>
                <c:pt idx="0">
                  <c:v>Sky line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data'!$E$16:$E$20</c:f>
              <c:numCache>
                <c:formatCode>0.0%</c:formatCode>
                <c:ptCount val="5"/>
                <c:pt idx="0">
                  <c:v>8.8235294117647058E-3</c:v>
                </c:pt>
                <c:pt idx="1">
                  <c:v>9.5800734472297616E-3</c:v>
                </c:pt>
                <c:pt idx="2">
                  <c:v>1.177536231884058E-2</c:v>
                </c:pt>
                <c:pt idx="3">
                  <c:v>8.9327691584391161E-3</c:v>
                </c:pt>
                <c:pt idx="4">
                  <c:v>7.4845427920598763E-3</c:v>
                </c:pt>
              </c:numCache>
            </c:numRef>
          </c:val>
        </c:ser>
        <c:ser>
          <c:idx val="3"/>
          <c:order val="3"/>
          <c:tx>
            <c:strRef>
              <c:f>'Harvesting data'!$F$15</c:f>
              <c:strCache>
                <c:ptCount val="1"/>
                <c:pt idx="0">
                  <c:v>Mechanised harvesting impossible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data'!$F$16:$F$20</c:f>
              <c:numCache>
                <c:formatCode>0.0%</c:formatCode>
                <c:ptCount val="5"/>
                <c:pt idx="0">
                  <c:v>2.3273657289002558E-2</c:v>
                </c:pt>
                <c:pt idx="1">
                  <c:v>2.4109851508861569E-2</c:v>
                </c:pt>
                <c:pt idx="2">
                  <c:v>2.4456521739130436E-2</c:v>
                </c:pt>
                <c:pt idx="3">
                  <c:v>1.5984955336154207E-2</c:v>
                </c:pt>
                <c:pt idx="4">
                  <c:v>2.4731532704197853E-2</c:v>
                </c:pt>
              </c:numCache>
            </c:numRef>
          </c:val>
        </c:ser>
        <c:ser>
          <c:idx val="4"/>
          <c:order val="4"/>
          <c:tx>
            <c:strRef>
              <c:f>'Harvesting data'!$G$15</c:f>
              <c:strCache>
                <c:ptCount val="1"/>
                <c:pt idx="0">
                  <c:v>Not possible to assess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Pt>
            <c:idx val="4"/>
            <c:invertIfNegative val="0"/>
            <c:bubble3D val="0"/>
          </c:dPt>
          <c:val>
            <c:numRef>
              <c:f>'Harvesting data'!$G$16:$G$20</c:f>
              <c:numCache>
                <c:formatCode>0.0%</c:formatCode>
                <c:ptCount val="5"/>
                <c:pt idx="0">
                  <c:v>6.5856777493606142E-3</c:v>
                </c:pt>
                <c:pt idx="1">
                  <c:v>3.3530257065304166E-3</c:v>
                </c:pt>
                <c:pt idx="2">
                  <c:v>1.358695652173913E-2</c:v>
                </c:pt>
                <c:pt idx="3">
                  <c:v>6.1118946873530795E-3</c:v>
                </c:pt>
                <c:pt idx="4">
                  <c:v>8.7862024080702893E-3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6668928"/>
        <c:axId val="186670464"/>
      </c:barChart>
      <c:catAx>
        <c:axId val="1866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670464"/>
        <c:crosses val="autoZero"/>
        <c:auto val="1"/>
        <c:lblAlgn val="ctr"/>
        <c:lblOffset val="100"/>
        <c:noMultiLvlLbl val="0"/>
      </c:catAx>
      <c:valAx>
        <c:axId val="18667046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</a:t>
                </a:r>
                <a:r>
                  <a:rPr lang="en-GB" baseline="0"/>
                  <a:t> </a:t>
                </a:r>
                <a:r>
                  <a:rPr lang="en-GB"/>
                  <a:t>of sections (by type) on the private sector estate</a:t>
                </a:r>
              </a:p>
            </c:rich>
          </c:tx>
          <c:layout>
            <c:manualLayout>
              <c:xMode val="edge"/>
              <c:yMode val="edge"/>
              <c:x val="1.3659049685062108E-3"/>
              <c:y val="9.6211741093828393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666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89382570781522"/>
          <c:y val="0.17184344119994405"/>
          <c:w val="0.17410617429218481"/>
          <c:h val="0.523694451986605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Distance to road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0.11355932203389831"/>
          <c:w val="0.73319544984488105"/>
          <c:h val="0.628813559322033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distance data'!$C$15</c:f>
              <c:strCache>
                <c:ptCount val="1"/>
                <c:pt idx="0">
                  <c:v>&lt; 200m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data'!$C$16:$C$20</c:f>
              <c:numCache>
                <c:formatCode>0.0%</c:formatCode>
                <c:ptCount val="5"/>
                <c:pt idx="0">
                  <c:v>0.60615091946734301</c:v>
                </c:pt>
                <c:pt idx="1">
                  <c:v>0.60028585040495475</c:v>
                </c:pt>
                <c:pt idx="2">
                  <c:v>0.56151142355008787</c:v>
                </c:pt>
                <c:pt idx="3">
                  <c:v>0.63885025498377379</c:v>
                </c:pt>
                <c:pt idx="4">
                  <c:v>0.60893493039818714</c:v>
                </c:pt>
              </c:numCache>
            </c:numRef>
          </c:val>
        </c:ser>
        <c:ser>
          <c:idx val="1"/>
          <c:order val="1"/>
          <c:tx>
            <c:strRef>
              <c:f>'Road distance data'!$D$15</c:f>
              <c:strCache>
                <c:ptCount val="1"/>
                <c:pt idx="0">
                  <c:v>200m - 400m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data'!$D$16:$D$20</c:f>
              <c:numCache>
                <c:formatCode>0.0%</c:formatCode>
                <c:ptCount val="5"/>
                <c:pt idx="0">
                  <c:v>0.21280913126188966</c:v>
                </c:pt>
                <c:pt idx="1">
                  <c:v>0.22883912974432269</c:v>
                </c:pt>
                <c:pt idx="2">
                  <c:v>0.14411247803163443</c:v>
                </c:pt>
                <c:pt idx="3">
                  <c:v>0.20074177097821047</c:v>
                </c:pt>
                <c:pt idx="4">
                  <c:v>0.21333764972483005</c:v>
                </c:pt>
              </c:numCache>
            </c:numRef>
          </c:val>
        </c:ser>
        <c:ser>
          <c:idx val="2"/>
          <c:order val="2"/>
          <c:tx>
            <c:strRef>
              <c:f>'Road distance data'!$E$15</c:f>
              <c:strCache>
                <c:ptCount val="1"/>
                <c:pt idx="0">
                  <c:v>400m - 600m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data'!$E$16:$E$20</c:f>
              <c:numCache>
                <c:formatCode>0.0%</c:formatCode>
                <c:ptCount val="5"/>
                <c:pt idx="0">
                  <c:v>0.10919467343056437</c:v>
                </c:pt>
                <c:pt idx="1">
                  <c:v>0.10592345561378434</c:v>
                </c:pt>
                <c:pt idx="2">
                  <c:v>0.19420035149384884</c:v>
                </c:pt>
                <c:pt idx="3">
                  <c:v>7.8349559573481692E-2</c:v>
                </c:pt>
                <c:pt idx="4">
                  <c:v>0.1076400129491745</c:v>
                </c:pt>
              </c:numCache>
            </c:numRef>
          </c:val>
        </c:ser>
        <c:ser>
          <c:idx val="3"/>
          <c:order val="3"/>
          <c:tx>
            <c:strRef>
              <c:f>'Road distance data'!$F$15</c:f>
              <c:strCache>
                <c:ptCount val="1"/>
                <c:pt idx="0">
                  <c:v>600m - 800m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data'!$F$16:$F$20</c:f>
              <c:numCache>
                <c:formatCode>0.0%</c:formatCode>
                <c:ptCount val="5"/>
                <c:pt idx="0">
                  <c:v>4.1280913126188964E-2</c:v>
                </c:pt>
                <c:pt idx="1">
                  <c:v>3.9701445132602826E-2</c:v>
                </c:pt>
                <c:pt idx="2">
                  <c:v>6.0632688927943761E-2</c:v>
                </c:pt>
                <c:pt idx="3">
                  <c:v>3.8479369494668521E-2</c:v>
                </c:pt>
                <c:pt idx="4">
                  <c:v>4.0304305600517967E-2</c:v>
                </c:pt>
              </c:numCache>
            </c:numRef>
          </c:val>
        </c:ser>
        <c:ser>
          <c:idx val="4"/>
          <c:order val="4"/>
          <c:tx>
            <c:strRef>
              <c:f>'Road distance data'!$G$15</c:f>
              <c:strCache>
                <c:ptCount val="1"/>
                <c:pt idx="0">
                  <c:v>800m - 1000m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data'!$G$16:$G$20</c:f>
              <c:numCache>
                <c:formatCode>0.0%</c:formatCode>
                <c:ptCount val="5"/>
                <c:pt idx="0">
                  <c:v>1.4774889029803425E-2</c:v>
                </c:pt>
                <c:pt idx="1">
                  <c:v>1.3498491345084962E-2</c:v>
                </c:pt>
                <c:pt idx="2">
                  <c:v>1.4938488576449912E-2</c:v>
                </c:pt>
                <c:pt idx="3">
                  <c:v>1.8080667593880391E-2</c:v>
                </c:pt>
                <c:pt idx="4">
                  <c:v>1.4891550663645193E-2</c:v>
                </c:pt>
              </c:numCache>
            </c:numRef>
          </c:val>
        </c:ser>
        <c:ser>
          <c:idx val="5"/>
          <c:order val="5"/>
          <c:tx>
            <c:strRef>
              <c:f>'Road distance data'!$H$15</c:f>
              <c:strCache>
                <c:ptCount val="1"/>
                <c:pt idx="0">
                  <c:v>&gt;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England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data'!$H$16:$H$20</c:f>
              <c:numCache>
                <c:formatCode>0.0%</c:formatCode>
                <c:ptCount val="5"/>
                <c:pt idx="0">
                  <c:v>1.5789473684210527E-2</c:v>
                </c:pt>
                <c:pt idx="1">
                  <c:v>1.1751627759250437E-2</c:v>
                </c:pt>
                <c:pt idx="2">
                  <c:v>2.4604569420035149E-2</c:v>
                </c:pt>
                <c:pt idx="3">
                  <c:v>2.5498377375985166E-2</c:v>
                </c:pt>
                <c:pt idx="4">
                  <c:v>1.4891550663645193E-2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6789888"/>
        <c:axId val="186791424"/>
      </c:barChart>
      <c:catAx>
        <c:axId val="1867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791424"/>
        <c:crosses val="autoZero"/>
        <c:auto val="1"/>
        <c:lblAlgn val="ctr"/>
        <c:lblOffset val="100"/>
        <c:noMultiLvlLbl val="0"/>
      </c:catAx>
      <c:valAx>
        <c:axId val="186791424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section of type on the private sector estate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78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00620475698035"/>
          <c:y val="0.26101694915254237"/>
          <c:w val="0.16132368148914167"/>
          <c:h val="0.38813559322033897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chart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chart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chart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chart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chart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9.bin"/></Relationships>
</file>

<file path=xl/chart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70.bin"/></Relationships>
</file>

<file path=xl/chart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chart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chart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chart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chart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chart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chart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chart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chart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chart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chart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chart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1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2.bin"/></Relationships>
</file>

<file path=xl/chart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chart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chart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chart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chart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chart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chart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chart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chart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chart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chart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chart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chart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chart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73.bin"/></Relationships>
</file>

<file path=xl/chart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74.bin"/></Relationships>
</file>

<file path=xl/chart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chart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chart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chart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chart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chart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chart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chart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chart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chart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chart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chart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chart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5.bin"/></Relationships>
</file>

<file path=xl/chart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6.bin"/></Relationships>
</file>

<file path=xl/chart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chart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chart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chart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chart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chart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chart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77.bin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78.bin"/></Relationships>
</file>

<file path=xl/chart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79.bin"/></Relationships>
</file>

<file path=xl/chart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80.bin"/></Relationships>
</file>

<file path=xl/chart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81.bin"/></Relationships>
</file>

<file path=xl/chart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82.bin"/></Relationships>
</file>

<file path=xl/chart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83.bin"/></Relationships>
</file>

<file path=xl/chart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84.bin"/></Relationships>
</file>

<file path=xl/chart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85.bin"/></Relationships>
</file>

<file path=xl/chart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86.bin"/></Relationships>
</file>

<file path=xl/chart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87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88.bin"/></Relationships>
</file>

<file path=xl/chart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chart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chart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chart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chart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chart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chart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chart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chart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9.bin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90.bin"/></Relationships>
</file>

<file path=xl/chart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91.bin"/></Relationships>
</file>

<file path=xl/chart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92.bin"/></Relationships>
</file>

<file path=xl/chart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93.bin"/></Relationships>
</file>

<file path=xl/chart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94.bin"/></Relationships>
</file>

<file path=xl/chart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95.bin"/></Relationships>
</file>

<file path=xl/chart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96.bin"/></Relationships>
</file>

<file path=xl/chart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97.bin"/></Relationships>
</file>

<file path=xl/chart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98.bin"/></Relationships>
</file>

<file path=xl/chart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99.bin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00.bin"/></Relationships>
</file>

<file path=xl/chart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chart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chart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chart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chart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chart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chart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chart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chart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10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102.bin"/></Relationships>
</file>

<file path=xl/chart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03.bin"/></Relationships>
</file>

<file path=xl/chart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104.bin"/></Relationships>
</file>

<file path=xl/chart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105.bin"/></Relationships>
</file>

<file path=xl/chart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106.bin"/></Relationships>
</file>

<file path=xl/chart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107.bin"/></Relationships>
</file>

<file path=xl/chart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108.bin"/></Relationships>
</file>

<file path=xl/chart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109.bin"/></Relationships>
</file>

<file path=xl/chart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110.bin"/></Relationships>
</file>

<file path=xl/chart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111.bin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112.bin"/></Relationships>
</file>

<file path=xl/chart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chart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chart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chart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chart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chart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chart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chart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chart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113.bin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114.bin"/></Relationships>
</file>

<file path=xl/chart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115.bin"/></Relationships>
</file>

<file path=xl/chart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116.bin"/></Relationships>
</file>

<file path=xl/chart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117.bin"/></Relationships>
</file>

<file path=xl/chart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118.bin"/></Relationships>
</file>

<file path=xl/chart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119.bin"/></Relationships>
</file>

<file path=xl/chart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120.bin"/></Relationships>
</file>

<file path=xl/chart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121.bin"/></Relationships>
</file>

<file path=xl/chart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122.bin"/></Relationships>
</file>

<file path=xl/chart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123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chart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124.bin"/></Relationships>
</file>

<file path=xl/chart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chart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chart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chart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chart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3.xml"/></Relationships>
</file>

<file path=xl/chart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4.xml"/></Relationships>
</file>

<file path=xl/chart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chart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6.xml"/></Relationships>
</file>

<file path=xl/chart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7.xml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chart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8.xml"/></Relationships>
</file>

<file path=xl/chart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9.xml"/></Relationships>
</file>

<file path=xl/chart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0.xml"/></Relationships>
</file>

<file path=xl/chart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1.xml"/></Relationships>
</file>

<file path=xl/chart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2.xml"/></Relationships>
</file>

<file path=xl/chart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chart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4.xml"/></Relationships>
</file>

<file path=xl/chart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chart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6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chart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chart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chart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chart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chart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chart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chart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8.bin"/></Relationships>
</file>

<file path=xl/chart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9.bin"/></Relationships>
</file>

<file path=xl/chart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0.bin"/></Relationships>
</file>

<file path=xl/chart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1.bin"/></Relationships>
</file>

<file path=xl/chart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2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3.bin"/></Relationships>
</file>

<file path=xl/chart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chart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chart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chart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chart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7.bin"/></Relationships>
</file>

<file path=xl/chart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8.bin"/></Relationships>
</file>

<file path=xl/chart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9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0.bin"/></Relationships>
</file>

<file path=xl/chart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1.bin"/></Relationships>
</file>

<file path=xl/chart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2.bin"/></Relationships>
</file>

<file path=xl/chart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chart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chart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chart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chart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chart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chart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chart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chart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chart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chart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chart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chart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chart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chart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chart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3.bin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chart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chart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chart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chart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8.bin"/></Relationships>
</file>

<file path=xl/chart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chart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chart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chart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chart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0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0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0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0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0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05.xml><?xml version="1.0" encoding="utf-8"?>
<chartsheet xmlns="http://schemas.openxmlformats.org/spreadsheetml/2006/main" xmlns:r="http://schemas.openxmlformats.org/officeDocument/2006/relationships">
  <sheetPr codeName="Chart60">
    <tabColor theme="2" tint="-0.249977111117893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10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107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08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09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10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11.xml><?xml version="1.0" encoding="utf-8"?>
<chartsheet xmlns="http://schemas.openxmlformats.org/spreadsheetml/2006/main" xmlns:r="http://schemas.openxmlformats.org/officeDocument/2006/relationships">
  <sheetPr codeName="Chart64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3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5.xml><?xml version="1.0" encoding="utf-8"?>
<chartsheet xmlns="http://schemas.openxmlformats.org/spreadsheetml/2006/main" xmlns:r="http://schemas.openxmlformats.org/officeDocument/2006/relationships">
  <sheetPr codeName="Chart68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6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7.xml><?xml version="1.0" encoding="utf-8"?>
<chartsheet xmlns="http://schemas.openxmlformats.org/spreadsheetml/2006/main" xmlns:r="http://schemas.openxmlformats.org/officeDocument/2006/relationships">
  <sheetPr codeName="Chart70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8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9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20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21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2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3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4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5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6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7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28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29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30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1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2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3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4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5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3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37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38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39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0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1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2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3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5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7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49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5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51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5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53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4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5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6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7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8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59.xml><?xml version="1.0" encoding="utf-8"?>
<chartsheet xmlns="http://schemas.openxmlformats.org/spreadsheetml/2006/main" xmlns:r="http://schemas.openxmlformats.org/officeDocument/2006/relationships">
  <sheetPr codeName="Chart94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6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1.xml><?xml version="1.0" encoding="utf-8"?>
<chartsheet xmlns="http://schemas.openxmlformats.org/spreadsheetml/2006/main" xmlns:r="http://schemas.openxmlformats.org/officeDocument/2006/relationships">
  <sheetPr codeName="Chart95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3.xml><?xml version="1.0" encoding="utf-8"?>
<chartsheet xmlns="http://schemas.openxmlformats.org/spreadsheetml/2006/main" xmlns:r="http://schemas.openxmlformats.org/officeDocument/2006/relationships">
  <sheetPr codeName="Chart96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5.xml><?xml version="1.0" encoding="utf-8"?>
<chartsheet xmlns="http://schemas.openxmlformats.org/spreadsheetml/2006/main" xmlns:r="http://schemas.openxmlformats.org/officeDocument/2006/relationships">
  <sheetPr codeName="Chart97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7.xml><?xml version="1.0" encoding="utf-8"?>
<chartsheet xmlns="http://schemas.openxmlformats.org/spreadsheetml/2006/main" xmlns:r="http://schemas.openxmlformats.org/officeDocument/2006/relationships">
  <sheetPr codeName="Chart98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69.xml><?xml version="1.0" encoding="utf-8"?>
<chartsheet xmlns="http://schemas.openxmlformats.org/spreadsheetml/2006/main" xmlns:r="http://schemas.openxmlformats.org/officeDocument/2006/relationships">
  <sheetPr codeName="Chart99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7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71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3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5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7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79.xml><?xml version="1.0" encoding="utf-8"?>
<chartsheet xmlns="http://schemas.openxmlformats.org/spreadsheetml/2006/main" xmlns:r="http://schemas.openxmlformats.org/officeDocument/2006/relationships">
  <sheetPr codeName="Chart114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80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1.xml><?xml version="1.0" encoding="utf-8"?>
<chartsheet xmlns="http://schemas.openxmlformats.org/spreadsheetml/2006/main" xmlns:r="http://schemas.openxmlformats.org/officeDocument/2006/relationships">
  <sheetPr codeName="Chart115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2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3.xml><?xml version="1.0" encoding="utf-8"?>
<chartsheet xmlns="http://schemas.openxmlformats.org/spreadsheetml/2006/main" xmlns:r="http://schemas.openxmlformats.org/officeDocument/2006/relationships">
  <sheetPr codeName="Chart116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4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5.xml><?xml version="1.0" encoding="utf-8"?>
<chartsheet xmlns="http://schemas.openxmlformats.org/spreadsheetml/2006/main" xmlns:r="http://schemas.openxmlformats.org/officeDocument/2006/relationships">
  <sheetPr codeName="Chart117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6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7.xml><?xml version="1.0" encoding="utf-8"?>
<chartsheet xmlns="http://schemas.openxmlformats.org/spreadsheetml/2006/main" xmlns:r="http://schemas.openxmlformats.org/officeDocument/2006/relationships">
  <sheetPr codeName="Chart118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8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89.xml><?xml version="1.0" encoding="utf-8"?>
<chartsheet xmlns="http://schemas.openxmlformats.org/spreadsheetml/2006/main" xmlns:r="http://schemas.openxmlformats.org/officeDocument/2006/relationships">
  <sheetPr codeName="Chart119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90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91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2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3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4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5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6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7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8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99.xml><?xml version="1.0" encoding="utf-8"?>
<chartsheet xmlns="http://schemas.openxmlformats.org/spreadsheetml/2006/main" xmlns:r="http://schemas.openxmlformats.org/officeDocument/2006/relationships">
  <sheetPr codeName="Chart134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200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1.xml><?xml version="1.0" encoding="utf-8"?>
<chartsheet xmlns="http://schemas.openxmlformats.org/spreadsheetml/2006/main" xmlns:r="http://schemas.openxmlformats.org/officeDocument/2006/relationships">
  <sheetPr codeName="Chart135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2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3.xml><?xml version="1.0" encoding="utf-8"?>
<chartsheet xmlns="http://schemas.openxmlformats.org/spreadsheetml/2006/main" xmlns:r="http://schemas.openxmlformats.org/officeDocument/2006/relationships">
  <sheetPr codeName="Chart136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4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5.xml><?xml version="1.0" encoding="utf-8"?>
<chartsheet xmlns="http://schemas.openxmlformats.org/spreadsheetml/2006/main" xmlns:r="http://schemas.openxmlformats.org/officeDocument/2006/relationships">
  <sheetPr codeName="Chart137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6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7.xml><?xml version="1.0" encoding="utf-8"?>
<chartsheet xmlns="http://schemas.openxmlformats.org/spreadsheetml/2006/main" xmlns:r="http://schemas.openxmlformats.org/officeDocument/2006/relationships">
  <sheetPr codeName="Chart138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8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09.xml><?xml version="1.0" encoding="utf-8"?>
<chartsheet xmlns="http://schemas.openxmlformats.org/spreadsheetml/2006/main" xmlns:r="http://schemas.openxmlformats.org/officeDocument/2006/relationships">
  <sheetPr codeName="Chart139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210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11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2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3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4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5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6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7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8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21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22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5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Chart19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3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3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5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239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40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1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2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3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4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5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6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7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48.xml><?xml version="1.0" encoding="utf-8"?>
<chartsheet xmlns="http://schemas.openxmlformats.org/spreadsheetml/2006/main" xmlns:r="http://schemas.openxmlformats.org/officeDocument/2006/relationships">
  <sheetPr>
    <tabColor theme="2" tint="-0.749992370372631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 codeName="Chart17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>
  <sheetPr codeName="Chart18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>
  <sheetPr codeName="Chart24">
    <tabColor theme="8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>
  <sheetPr codeName="Chart27">
    <tabColor theme="8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38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39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0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>
  <sheetPr codeName="Chart34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5.xml><?xml version="1.0" encoding="utf-8"?>
<chartsheet xmlns="http://schemas.openxmlformats.org/spreadsheetml/2006/main" xmlns:r="http://schemas.openxmlformats.org/officeDocument/2006/relationships">
  <sheetPr codeName="Chart35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7.xml><?xml version="1.0" encoding="utf-8"?>
<chartsheet xmlns="http://schemas.openxmlformats.org/spreadsheetml/2006/main" xmlns:r="http://schemas.openxmlformats.org/officeDocument/2006/relationships">
  <sheetPr codeName="Chart36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9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>
  <sheetPr>
    <tabColor theme="7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5.xml><?xml version="1.0" encoding="utf-8"?>
<chartsheet xmlns="http://schemas.openxmlformats.org/spreadsheetml/2006/main" xmlns:r="http://schemas.openxmlformats.org/officeDocument/2006/relationships">
  <sheetPr codeName="Chart38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5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57.xml><?xml version="1.0" encoding="utf-8"?>
<chartsheet xmlns="http://schemas.openxmlformats.org/spreadsheetml/2006/main" xmlns:r="http://schemas.openxmlformats.org/officeDocument/2006/relationships">
  <sheetPr codeName="Chart41">
    <tabColor theme="7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5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59.xml><?xml version="1.0" encoding="utf-8"?>
<chartsheet xmlns="http://schemas.openxmlformats.org/spreadsheetml/2006/main" xmlns:r="http://schemas.openxmlformats.org/officeDocument/2006/relationships">
  <sheetPr codeName="Chart44">
    <tabColor theme="6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0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1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2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3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4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5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6.xml><?xml version="1.0" encoding="utf-8"?>
<chartsheet xmlns="http://schemas.openxmlformats.org/spreadsheetml/2006/main" xmlns:r="http://schemas.openxmlformats.org/officeDocument/2006/relationships">
  <sheetPr>
    <tabColor theme="6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7.xml><?xml version="1.0" encoding="utf-8"?>
<chartsheet xmlns="http://schemas.openxmlformats.org/spreadsheetml/2006/main" xmlns:r="http://schemas.openxmlformats.org/officeDocument/2006/relationships">
  <sheetPr codeName="Chart48">
    <tabColor theme="6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68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69.xml><?xml version="1.0" encoding="utf-8"?>
<chartsheet xmlns="http://schemas.openxmlformats.org/spreadsheetml/2006/main" xmlns:r="http://schemas.openxmlformats.org/officeDocument/2006/relationships">
  <sheetPr codeName="Chart51">
    <tabColor theme="6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70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71.xml><?xml version="1.0" encoding="utf-8"?>
<chartsheet xmlns="http://schemas.openxmlformats.org/spreadsheetml/2006/main" xmlns:r="http://schemas.openxmlformats.org/officeDocument/2006/relationships">
  <sheetPr codeName="Chart54">
    <tabColor theme="5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2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3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4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5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6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7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8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79.xml><?xml version="1.0" encoding="utf-8"?>
<chartsheet xmlns="http://schemas.openxmlformats.org/spreadsheetml/2006/main" xmlns:r="http://schemas.openxmlformats.org/officeDocument/2006/relationships">
  <sheetPr codeName="Chart56">
    <tabColor theme="4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80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1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2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3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4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5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6.xml><?xml version="1.0" encoding="utf-8"?>
<chartsheet xmlns="http://schemas.openxmlformats.org/spreadsheetml/2006/main" xmlns:r="http://schemas.openxmlformats.org/officeDocument/2006/relationships">
  <sheetPr>
    <tabColor theme="4" tint="-0.249977111117893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2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2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9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5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9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9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9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9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5120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5120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</cdr:x>
      <cdr:y>0.11775</cdr:y>
    </cdr:from>
    <cdr:to>
      <cdr:x>0.04535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60863"/>
          <a:ext cx="417635" cy="34165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neither broadleaves nor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5120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588984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0.01591</cdr:x>
      <cdr:y>0.92167</cdr:y>
    </cdr:from>
    <cdr:to>
      <cdr:x>0.48767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6538" y="5180135"/>
          <a:ext cx="4344866" cy="439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* Brash</a:t>
          </a:r>
          <a:r>
            <a:rPr lang="en-GB" sz="1200" baseline="0"/>
            <a:t> Removal / Mulched / Burned</a:t>
          </a:r>
          <a:endParaRPr lang="en-GB" sz="12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0.00318</cdr:x>
      <cdr:y>0.03525</cdr:y>
    </cdr:from>
    <cdr:to>
      <cdr:x>0.04535</cdr:x>
      <cdr:y>0.67363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88" y="197827"/>
          <a:ext cx="388383" cy="3582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neither broadleaves nor conifers</a:t>
          </a:r>
        </a:p>
      </cdr:txBody>
    </cdr:sp>
  </cdr:relSizeAnchor>
  <cdr:relSizeAnchor xmlns:cdr="http://schemas.openxmlformats.org/drawingml/2006/chartDrawing">
    <cdr:from>
      <cdr:x>0.82657</cdr:x>
      <cdr:y>0.06136</cdr:y>
    </cdr:from>
    <cdr:to>
      <cdr:x>0.98011</cdr:x>
      <cdr:y>0.34726</cdr:y>
    </cdr:to>
    <cdr:grpSp>
      <cdr:nvGrpSpPr>
        <cdr:cNvPr id="2" name="Group 1"/>
        <cdr:cNvGrpSpPr/>
      </cdr:nvGrpSpPr>
      <cdr:grpSpPr>
        <a:xfrm xmlns:a="http://schemas.openxmlformats.org/drawingml/2006/main">
          <a:off x="7612662" y="344378"/>
          <a:ext cx="1414094" cy="1604592"/>
          <a:chOff x="7767757" y="599744"/>
          <a:chExt cx="1312417" cy="1722901"/>
        </a:xfrm>
      </cdr:grpSpPr>
      <cdr:sp macro="" textlink="">
        <cdr:nvSpPr>
          <cdr:cNvPr id="524289" name="Text Box 1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95703" y="1819042"/>
            <a:ext cx="1084471" cy="50360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&lt; 3 yrs old</a:t>
            </a:r>
          </a:p>
        </cdr:txBody>
      </cdr:sp>
      <cdr:sp macro="" textlink="">
        <cdr:nvSpPr>
          <cdr:cNvPr id="51202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7757" y="1441439"/>
            <a:ext cx="151964" cy="14171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0084A8" mc:Ignorable="a14" a14:legacySpreadsheetColorIndex="4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2" name="Text Box 4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95703" y="1361798"/>
            <a:ext cx="1084471" cy="42603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&gt; 3 yrs old</a:t>
            </a:r>
          </a:p>
        </cdr:txBody>
      </cdr:sp>
      <cdr:sp macro="" textlink="">
        <cdr:nvSpPr>
          <cdr:cNvPr id="51204" name="Rectangle 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7757" y="761886"/>
            <a:ext cx="151964" cy="14592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76AD1C" mc:Ignorable="a14" a14:legacySpreadsheetColorIndex="24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4" name="Text Box 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95703" y="599744"/>
            <a:ext cx="1084471" cy="7044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both &lt; 3yrs and &gt; 3 yrs</a:t>
            </a:r>
          </a:p>
        </cdr:txBody>
      </cdr:sp>
      <cdr:sp macro="" textlink="">
        <cdr:nvSpPr>
          <cdr:cNvPr id="51207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7757" y="1865345"/>
            <a:ext cx="140360" cy="140367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800000" mc:Ignorable="a14" a14:legacySpreadsheetColorIndex="37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0.01671</cdr:x>
      <cdr:y>0.91775</cdr:y>
    </cdr:from>
    <cdr:to>
      <cdr:x>0.49483</cdr:x>
      <cdr:y>0.99086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3865" y="5150827"/>
          <a:ext cx="4403481" cy="410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* Brash Removal</a:t>
          </a:r>
          <a:r>
            <a:rPr lang="en-GB" sz="1200" baseline="0"/>
            <a:t> / Mulched / Burned</a:t>
          </a:r>
          <a:endParaRPr lang="en-GB" sz="12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0.08352</cdr:x>
      <cdr:y>0.9353</cdr:y>
    </cdr:from>
    <cdr:to>
      <cdr:x>0.21721</cdr:x>
      <cdr:y>0.99316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46756" y="5737252"/>
          <a:ext cx="1248378" cy="301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Broadleaved</a:t>
          </a:r>
        </a:p>
      </cdr:txBody>
    </cdr:sp>
  </cdr:relSizeAnchor>
  <cdr:relSizeAnchor xmlns:cdr="http://schemas.openxmlformats.org/drawingml/2006/chartDrawing">
    <cdr:from>
      <cdr:x>0.29002</cdr:x>
      <cdr:y>0.93758</cdr:y>
    </cdr:from>
    <cdr:to>
      <cdr:x>0.42396</cdr:x>
      <cdr:y>0.99544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77111" y="5775047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0.49727</cdr:x>
      <cdr:y>0.93202</cdr:y>
    </cdr:from>
    <cdr:to>
      <cdr:x>0.63096</cdr:x>
      <cdr:y>0.99596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09853" y="5747305"/>
          <a:ext cx="1248422" cy="319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0.70427</cdr:x>
      <cdr:y>0.93429</cdr:y>
    </cdr:from>
    <cdr:to>
      <cdr:x>0.83822</cdr:x>
      <cdr:y>0.9914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542596" y="5756552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0.08352</cdr:x>
      <cdr:y>0.9353</cdr:y>
    </cdr:from>
    <cdr:to>
      <cdr:x>0.23641</cdr:x>
      <cdr:y>0.99316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6558" y="5674177"/>
          <a:ext cx="1421519" cy="3510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Broadleaved</a:t>
          </a:r>
        </a:p>
      </cdr:txBody>
    </cdr:sp>
  </cdr:relSizeAnchor>
  <cdr:relSizeAnchor xmlns:cdr="http://schemas.openxmlformats.org/drawingml/2006/chartDrawing">
    <cdr:from>
      <cdr:x>0.29002</cdr:x>
      <cdr:y>0.93758</cdr:y>
    </cdr:from>
    <cdr:to>
      <cdr:x>0.42396</cdr:x>
      <cdr:y>0.99544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77111" y="5775047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0.49727</cdr:x>
      <cdr:y>0.93202</cdr:y>
    </cdr:from>
    <cdr:to>
      <cdr:x>0.63096</cdr:x>
      <cdr:y>0.99596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09853" y="5747305"/>
          <a:ext cx="1248422" cy="319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0.70427</cdr:x>
      <cdr:y>0.93429</cdr:y>
    </cdr:from>
    <cdr:to>
      <cdr:x>0.83822</cdr:x>
      <cdr:y>0.9914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542596" y="5756552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0.07212</cdr:x>
      <cdr:y>0.93711</cdr:y>
    </cdr:from>
    <cdr:to>
      <cdr:x>0.25736</cdr:x>
      <cdr:y>0.9988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8934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0.29148</cdr:x>
      <cdr:y>0.93711</cdr:y>
    </cdr:from>
    <cdr:to>
      <cdr:x>0.47697</cdr:x>
      <cdr:y>0.9988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03146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0.51922</cdr:x>
      <cdr:y>0.93711</cdr:y>
    </cdr:from>
    <cdr:to>
      <cdr:x>0.70445</cdr:x>
      <cdr:y>0.9988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820627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0.74617</cdr:x>
      <cdr:y>0.92912</cdr:y>
    </cdr:from>
    <cdr:to>
      <cdr:x>0.93115</cdr:x>
      <cdr:y>0.99081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930781" y="5685204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0.10008</cdr:x>
      <cdr:y>0.93711</cdr:y>
    </cdr:from>
    <cdr:to>
      <cdr:x>0.25736</cdr:x>
      <cdr:y>0.9988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30519" y="5685158"/>
          <a:ext cx="1462380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0.32861</cdr:x>
      <cdr:y>0.93711</cdr:y>
    </cdr:from>
    <cdr:to>
      <cdr:x>0.47697</cdr:x>
      <cdr:y>0.9988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55327" y="5685158"/>
          <a:ext cx="1379476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0.54689</cdr:x>
      <cdr:y>0.93711</cdr:y>
    </cdr:from>
    <cdr:to>
      <cdr:x>0.70445</cdr:x>
      <cdr:y>0.9988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4885" y="5685158"/>
          <a:ext cx="1464996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0.76202</cdr:x>
      <cdr:y>0.92912</cdr:y>
    </cdr:from>
    <cdr:to>
      <cdr:x>0.93115</cdr:x>
      <cdr:y>0.99081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085135" y="5636685"/>
          <a:ext cx="1572572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0.80889</cdr:x>
      <cdr:y>0.54288</cdr:y>
    </cdr:from>
    <cdr:to>
      <cdr:x>0.88706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50467" y="3050864"/>
          <a:ext cx="720000" cy="360000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0.80523</cdr:x>
      <cdr:y>0.15809</cdr:y>
    </cdr:from>
    <cdr:to>
      <cdr:x>0.82477</cdr:x>
      <cdr:y>0.19012</cdr:y>
    </cdr:to>
    <cdr:sp macro="" textlink="">
      <cdr:nvSpPr>
        <cdr:cNvPr id="22937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16734" y="888441"/>
          <a:ext cx="180000" cy="180000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0.80603</cdr:x>
      <cdr:y>0.20056</cdr:y>
    </cdr:from>
    <cdr:to>
      <cdr:x>0.99173</cdr:x>
      <cdr:y>0.30339</cdr:y>
    </cdr:to>
    <cdr:sp macro="" textlink="">
      <cdr:nvSpPr>
        <cdr:cNvPr id="26791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4111" y="1127069"/>
          <a:ext cx="1710364" cy="577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Standing volume at start of period</a:t>
          </a:r>
        </a:p>
      </cdr:txBody>
    </cdr:sp>
  </cdr:relSizeAnchor>
  <cdr:relSizeAnchor xmlns:cdr="http://schemas.openxmlformats.org/drawingml/2006/chartDrawing">
    <cdr:from>
      <cdr:x>0.80659</cdr:x>
      <cdr:y>0.32559</cdr:y>
    </cdr:from>
    <cdr:to>
      <cdr:x>0.82613</cdr:x>
      <cdr:y>0.35762</cdr:y>
    </cdr:to>
    <cdr:sp macro="" textlink="">
      <cdr:nvSpPr>
        <cdr:cNvPr id="229380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9260" y="1829759"/>
          <a:ext cx="180000" cy="180000"/>
        </a:xfrm>
        <a:prstGeom xmlns:a="http://schemas.openxmlformats.org/drawingml/2006/main" prst="rect">
          <a:avLst/>
        </a:prstGeom>
        <a:solidFill xmlns:a="http://schemas.openxmlformats.org/drawingml/2006/main">
          <a:srgbClr val="B6D99F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0.80652</cdr:x>
      <cdr:y>0.37869</cdr:y>
    </cdr:from>
    <cdr:to>
      <cdr:x>0.98345</cdr:x>
      <cdr:y>0.51695</cdr:y>
    </cdr:to>
    <cdr:sp macro="" textlink="">
      <cdr:nvSpPr>
        <cdr:cNvPr id="22938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585" y="2128124"/>
          <a:ext cx="1629689" cy="777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GB" sz="1000" b="0" i="0" baseline="0">
              <a:effectLst/>
              <a:latin typeface="Verdana" panose="020B0604030504040204" pitchFamily="34" charset="0"/>
              <a:ea typeface="+mn-ea"/>
              <a:cs typeface="+mn-cs"/>
            </a:rPr>
            <a:t>Total net increment per period</a:t>
          </a:r>
          <a:endParaRPr lang="en-GB" sz="1000" baseline="0">
            <a:effectLst/>
            <a:latin typeface="Verdan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0.82029</cdr:x>
      <cdr:y>0.5785</cdr:y>
    </cdr:from>
    <cdr:to>
      <cdr:x>0.87892</cdr:x>
      <cdr:y>0.5785</cdr:y>
    </cdr:to>
    <cdr:sp macro="" textlink="">
      <cdr:nvSpPr>
        <cdr:cNvPr id="229394" name="Line 1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55447" y="3251008"/>
          <a:ext cx="54000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0.80739</cdr:x>
      <cdr:y>0.62674</cdr:y>
    </cdr:from>
    <cdr:to>
      <cdr:x>0.98449</cdr:x>
      <cdr:y>0.7339</cdr:y>
    </cdr:to>
    <cdr:sp macro="" textlink="">
      <cdr:nvSpPr>
        <cdr:cNvPr id="229395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6612" y="3522102"/>
          <a:ext cx="1631187" cy="602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Total availability per period</a:t>
          </a:r>
        </a:p>
      </cdr:txBody>
    </cdr:sp>
  </cdr:relSizeAnchor>
  <cdr:relSizeAnchor xmlns:cdr="http://schemas.openxmlformats.org/drawingml/2006/chartDrawing">
    <cdr:from>
      <cdr:x>0.83714</cdr:x>
      <cdr:y>0.55933</cdr:y>
    </cdr:from>
    <cdr:to>
      <cdr:x>0.85669</cdr:x>
      <cdr:y>0.59136</cdr:y>
    </cdr:to>
    <cdr:sp macro="" textlink="">
      <cdr:nvSpPr>
        <cdr:cNvPr id="229396" name="AutoShape 2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0667" y="3143279"/>
          <a:ext cx="180000" cy="180000"/>
        </a:xfrm>
        <a:prstGeom xmlns:a="http://schemas.openxmlformats.org/drawingml/2006/main" prst="triangle">
          <a:avLst>
            <a:gd name="adj" fmla="val 5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0.0048</cdr:x>
      <cdr:y>0.08475</cdr:y>
    </cdr:from>
    <cdr:to>
      <cdr:x>0.05967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09" y="475653"/>
          <a:ext cx="505310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0.80889</cdr:x>
      <cdr:y>0.54288</cdr:y>
    </cdr:from>
    <cdr:to>
      <cdr:x>0.88706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9830" y="3046872"/>
          <a:ext cx="719941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0.80523</cdr:x>
      <cdr:y>0.15809</cdr:y>
    </cdr:from>
    <cdr:to>
      <cdr:x>0.82477</cdr:x>
      <cdr:y>0.19012</cdr:y>
    </cdr:to>
    <cdr:sp macro="" textlink="">
      <cdr:nvSpPr>
        <cdr:cNvPr id="22937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16122" y="887268"/>
          <a:ext cx="179962" cy="179766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0.80603</cdr:x>
      <cdr:y>0.20056</cdr:y>
    </cdr:from>
    <cdr:to>
      <cdr:x>0.99173</cdr:x>
      <cdr:y>0.30339</cdr:y>
    </cdr:to>
    <cdr:sp macro="" textlink="">
      <cdr:nvSpPr>
        <cdr:cNvPr id="26791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3490" y="1125628"/>
          <a:ext cx="1710286" cy="577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Standing volume at start of period</a:t>
          </a:r>
        </a:p>
      </cdr:txBody>
    </cdr:sp>
  </cdr:relSizeAnchor>
  <cdr:relSizeAnchor xmlns:cdr="http://schemas.openxmlformats.org/drawingml/2006/chartDrawing">
    <cdr:from>
      <cdr:x>0.80659</cdr:x>
      <cdr:y>0.32559</cdr:y>
    </cdr:from>
    <cdr:to>
      <cdr:x>0.82613</cdr:x>
      <cdr:y>0.35762</cdr:y>
    </cdr:to>
    <cdr:sp macro="" textlink="">
      <cdr:nvSpPr>
        <cdr:cNvPr id="229380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647" y="1827349"/>
          <a:ext cx="179962" cy="179766"/>
        </a:xfrm>
        <a:prstGeom xmlns:a="http://schemas.openxmlformats.org/drawingml/2006/main" prst="rect">
          <a:avLst/>
        </a:prstGeom>
        <a:solidFill xmlns:a="http://schemas.openxmlformats.org/drawingml/2006/main">
          <a:srgbClr val="B6D99F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0.80652</cdr:x>
      <cdr:y>0.37869</cdr:y>
    </cdr:from>
    <cdr:to>
      <cdr:x>0.98345</cdr:x>
      <cdr:y>0.51695</cdr:y>
    </cdr:to>
    <cdr:sp macro="" textlink="">
      <cdr:nvSpPr>
        <cdr:cNvPr id="22938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002" y="2125368"/>
          <a:ext cx="1629515" cy="775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GB" sz="1400" b="0" i="0" baseline="0">
              <a:effectLst/>
              <a:latin typeface="Verdana" panose="020B0604030504040204" pitchFamily="34" charset="0"/>
              <a:ea typeface="+mn-ea"/>
              <a:cs typeface="+mn-cs"/>
            </a:rPr>
            <a:t>Total net increment per period</a:t>
          </a:r>
          <a:endParaRPr lang="en-GB" sz="1400" baseline="0">
            <a:effectLst/>
            <a:latin typeface="Verdan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0.82029</cdr:x>
      <cdr:y>0.5785</cdr:y>
    </cdr:from>
    <cdr:to>
      <cdr:x>0.87892</cdr:x>
      <cdr:y>0.5785</cdr:y>
    </cdr:to>
    <cdr:sp macro="" textlink="">
      <cdr:nvSpPr>
        <cdr:cNvPr id="229394" name="Line 1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54823" y="3246787"/>
          <a:ext cx="5399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0.80739</cdr:x>
      <cdr:y>0.62674</cdr:y>
    </cdr:from>
    <cdr:to>
      <cdr:x>0.98449</cdr:x>
      <cdr:y>0.7339</cdr:y>
    </cdr:to>
    <cdr:sp macro="" textlink="">
      <cdr:nvSpPr>
        <cdr:cNvPr id="229395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6015" y="3517530"/>
          <a:ext cx="1631081" cy="601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Total availability per period</a:t>
          </a:r>
        </a:p>
      </cdr:txBody>
    </cdr:sp>
  </cdr:relSizeAnchor>
  <cdr:relSizeAnchor xmlns:cdr="http://schemas.openxmlformats.org/drawingml/2006/chartDrawing">
    <cdr:from>
      <cdr:x>0.83714</cdr:x>
      <cdr:y>0.55933</cdr:y>
    </cdr:from>
    <cdr:to>
      <cdr:x>0.85669</cdr:x>
      <cdr:y>0.59136</cdr:y>
    </cdr:to>
    <cdr:sp macro="" textlink="">
      <cdr:nvSpPr>
        <cdr:cNvPr id="229396" name="AutoShape 2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0011" y="3139197"/>
          <a:ext cx="180054" cy="179765"/>
        </a:xfrm>
        <a:prstGeom xmlns:a="http://schemas.openxmlformats.org/drawingml/2006/main" prst="triangle">
          <a:avLst>
            <a:gd name="adj" fmla="val 5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0.00159</cdr:x>
      <cdr:y>0.08475</cdr:y>
    </cdr:from>
    <cdr:to>
      <cdr:x>0.05967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55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0.83453</cdr:x>
      <cdr:y>0.54288</cdr:y>
    </cdr:from>
    <cdr:to>
      <cdr:x>0.90533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85943" y="3046872"/>
          <a:ext cx="652096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0.83373</cdr:x>
      <cdr:y>0.15548</cdr:y>
    </cdr:from>
    <cdr:to>
      <cdr:x>0.99284</cdr:x>
      <cdr:y>0.73129</cdr:y>
    </cdr:to>
    <cdr:grpSp>
      <cdr:nvGrpSpPr>
        <cdr:cNvPr id="7" name="Group 6"/>
        <cdr:cNvGrpSpPr/>
      </cdr:nvGrpSpPr>
      <cdr:grpSpPr>
        <a:xfrm xmlns:a="http://schemas.openxmlformats.org/drawingml/2006/main">
          <a:off x="7678605" y="872620"/>
          <a:ext cx="1465394" cy="3231689"/>
          <a:chOff x="7416122" y="887268"/>
          <a:chExt cx="1717654" cy="3231689"/>
        </a:xfrm>
      </cdr:grpSpPr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5771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2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2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5" y="3517530"/>
            <a:ext cx="1631081" cy="60142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20574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</cdr:grpSp>
  </cdr:relSizeAnchor>
  <cdr:relSizeAnchor xmlns:cdr="http://schemas.openxmlformats.org/drawingml/2006/chartDrawing">
    <cdr:from>
      <cdr:x>1.08578E-7</cdr:x>
      <cdr:y>0.08083</cdr:y>
    </cdr:from>
    <cdr:to>
      <cdr:x>0.05887</cdr:x>
      <cdr:y>0.80286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" y="453652"/>
          <a:ext cx="542192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0.83453</cdr:x>
      <cdr:y>0.54288</cdr:y>
    </cdr:from>
    <cdr:to>
      <cdr:x>0.90533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85943" y="3046872"/>
          <a:ext cx="652096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0.83373</cdr:x>
      <cdr:y>0.15548</cdr:y>
    </cdr:from>
    <cdr:to>
      <cdr:x>0.99284</cdr:x>
      <cdr:y>0.78198</cdr:y>
    </cdr:to>
    <cdr:grpSp>
      <cdr:nvGrpSpPr>
        <cdr:cNvPr id="7" name="Group 6"/>
        <cdr:cNvGrpSpPr/>
      </cdr:nvGrpSpPr>
      <cdr:grpSpPr>
        <a:xfrm xmlns:a="http://schemas.openxmlformats.org/drawingml/2006/main">
          <a:off x="7678605" y="872620"/>
          <a:ext cx="1465394" cy="3516183"/>
          <a:chOff x="7416122" y="887268"/>
          <a:chExt cx="1717654" cy="3516207"/>
        </a:xfrm>
      </cdr:grpSpPr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6987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4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4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8859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20574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0.08083</cdr:y>
    </cdr:from>
    <cdr:to>
      <cdr:x>0.05648</cdr:x>
      <cdr:y>0.80286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53652"/>
          <a:ext cx="520212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8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0.82737</cdr:x>
      <cdr:y>0.15809</cdr:y>
    </cdr:from>
    <cdr:to>
      <cdr:x>0.99173</cdr:x>
      <cdr:y>0.75326</cdr:y>
    </cdr:to>
    <cdr:grpSp>
      <cdr:nvGrpSpPr>
        <cdr:cNvPr id="4" name="Group 3"/>
        <cdr:cNvGrpSpPr/>
      </cdr:nvGrpSpPr>
      <cdr:grpSpPr>
        <a:xfrm xmlns:a="http://schemas.openxmlformats.org/drawingml/2006/main">
          <a:off x="7620030" y="887268"/>
          <a:ext cx="1513746" cy="3340346"/>
          <a:chOff x="7416122" y="887268"/>
          <a:chExt cx="1717654" cy="3340367"/>
        </a:xfrm>
      </cdr:grpSpPr>
      <cdr:sp macro="" textlink="">
        <cdr:nvSpPr>
          <cdr:cNvPr id="229377" name="Rectangle 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49830" y="3046872"/>
            <a:ext cx="719941" cy="35953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5771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0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0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7101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10011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0.08475</cdr:y>
    </cdr:from>
    <cdr:to>
      <cdr:x>0.05807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0.82737</cdr:x>
      <cdr:y>0.15809</cdr:y>
    </cdr:from>
    <cdr:to>
      <cdr:x>0.99173</cdr:x>
      <cdr:y>0.7624</cdr:y>
    </cdr:to>
    <cdr:grpSp>
      <cdr:nvGrpSpPr>
        <cdr:cNvPr id="4" name="Group 3"/>
        <cdr:cNvGrpSpPr/>
      </cdr:nvGrpSpPr>
      <cdr:grpSpPr>
        <a:xfrm xmlns:a="http://schemas.openxmlformats.org/drawingml/2006/main">
          <a:off x="7620030" y="887268"/>
          <a:ext cx="1513746" cy="3391643"/>
          <a:chOff x="7416122" y="887268"/>
          <a:chExt cx="1717654" cy="3391655"/>
        </a:xfrm>
      </cdr:grpSpPr>
      <cdr:sp macro="" textlink="">
        <cdr:nvSpPr>
          <cdr:cNvPr id="229377" name="Rectangle 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49830" y="3046872"/>
            <a:ext cx="719941" cy="35953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70610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4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4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76139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10011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0.08475</cdr:y>
    </cdr:from>
    <cdr:to>
      <cdr:x>0.05807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7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8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9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0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1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2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3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4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5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6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9215438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broadleaves</a:t>
          </a:r>
        </a:p>
      </cdr:txBody>
    </cdr:sp>
  </cdr:relSizeAnchor>
  <cdr:relSizeAnchor xmlns:cdr="http://schemas.openxmlformats.org/drawingml/2006/chartDrawing">
    <cdr:from>
      <cdr:x>0.8662</cdr:x>
      <cdr:y>0.34369</cdr:y>
    </cdr:from>
    <cdr:to>
      <cdr:x>0.98395</cdr:x>
      <cdr:y>0.41124</cdr:y>
    </cdr:to>
    <cdr:sp macro="" textlink="">
      <cdr:nvSpPr>
        <cdr:cNvPr id="123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928937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0.84023</cdr:x>
      <cdr:y>0.25944</cdr:y>
    </cdr:from>
    <cdr:to>
      <cdr:x>0.85673</cdr:x>
      <cdr:y>0.28469</cdr:y>
    </cdr:to>
    <cdr:sp macro="" textlink="">
      <cdr:nvSpPr>
        <cdr:cNvPr id="12326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456098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0.24525</cdr:y>
    </cdr:from>
    <cdr:to>
      <cdr:x>0.98395</cdr:x>
      <cdr:y>0.32116</cdr:y>
    </cdr:to>
    <cdr:sp macro="" textlink="">
      <cdr:nvSpPr>
        <cdr:cNvPr id="12327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376458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0.84023</cdr:x>
      <cdr:y>0.15925</cdr:y>
    </cdr:from>
    <cdr:to>
      <cdr:x>0.85673</cdr:x>
      <cdr:y>0.18525</cdr:y>
    </cdr:to>
    <cdr:sp macro="" textlink="">
      <cdr:nvSpPr>
        <cdr:cNvPr id="12328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893771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0.13036</cdr:y>
    </cdr:from>
    <cdr:to>
      <cdr:x>0.98395</cdr:x>
      <cdr:y>0.22308</cdr:y>
    </cdr:to>
    <cdr:sp macro="" textlink="">
      <cdr:nvSpPr>
        <cdr:cNvPr id="12329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731629"/>
          <a:ext cx="1084471" cy="5203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0.84023</cdr:x>
      <cdr:y>0.35194</cdr:y>
    </cdr:from>
    <cdr:to>
      <cdr:x>0.85673</cdr:x>
      <cdr:y>0.37794</cdr:y>
    </cdr:to>
    <cdr:sp macro="" textlink="">
      <cdr:nvSpPr>
        <cdr:cNvPr id="12331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975240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0.01378</cdr:x>
      <cdr:y>0.93644</cdr:y>
    </cdr:from>
    <cdr:to>
      <cdr:x>0.41258</cdr:x>
      <cdr:y>0.98588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000" y="5262563"/>
          <a:ext cx="3675063" cy="277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* Brash</a:t>
          </a:r>
          <a:r>
            <a:rPr lang="en-GB" sz="1100" baseline="0"/>
            <a:t> Removal / Mulched / Burned</a:t>
          </a:r>
          <a:endParaRPr lang="en-GB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9215438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0.0075</cdr:x>
      <cdr:y>0.01977</cdr:y>
    </cdr:from>
    <cdr:to>
      <cdr:x>0.05254</cdr:x>
      <cdr:y>0.57486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117" y="111126"/>
          <a:ext cx="415072" cy="3119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broadleaves</a:t>
          </a:r>
        </a:p>
      </cdr:txBody>
    </cdr:sp>
  </cdr:relSizeAnchor>
  <cdr:relSizeAnchor xmlns:cdr="http://schemas.openxmlformats.org/drawingml/2006/chartDrawing">
    <cdr:from>
      <cdr:x>0.8662</cdr:x>
      <cdr:y>0.34369</cdr:y>
    </cdr:from>
    <cdr:to>
      <cdr:x>0.98395</cdr:x>
      <cdr:y>0.41124</cdr:y>
    </cdr:to>
    <cdr:sp macro="" textlink="">
      <cdr:nvSpPr>
        <cdr:cNvPr id="123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928937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0.84023</cdr:x>
      <cdr:y>0.25944</cdr:y>
    </cdr:from>
    <cdr:to>
      <cdr:x>0.85673</cdr:x>
      <cdr:y>0.28469</cdr:y>
    </cdr:to>
    <cdr:sp macro="" textlink="">
      <cdr:nvSpPr>
        <cdr:cNvPr id="12326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456098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0.24525</cdr:y>
    </cdr:from>
    <cdr:to>
      <cdr:x>0.98395</cdr:x>
      <cdr:y>0.32116</cdr:y>
    </cdr:to>
    <cdr:sp macro="" textlink="">
      <cdr:nvSpPr>
        <cdr:cNvPr id="12327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376458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0.84023</cdr:x>
      <cdr:y>0.15925</cdr:y>
    </cdr:from>
    <cdr:to>
      <cdr:x>0.85673</cdr:x>
      <cdr:y>0.18525</cdr:y>
    </cdr:to>
    <cdr:sp macro="" textlink="">
      <cdr:nvSpPr>
        <cdr:cNvPr id="12328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893771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0.13036</cdr:y>
    </cdr:from>
    <cdr:to>
      <cdr:x>0.98395</cdr:x>
      <cdr:y>0.22308</cdr:y>
    </cdr:to>
    <cdr:sp macro="" textlink="">
      <cdr:nvSpPr>
        <cdr:cNvPr id="12329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731629"/>
          <a:ext cx="1084471" cy="5203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0.84023</cdr:x>
      <cdr:y>0.35194</cdr:y>
    </cdr:from>
    <cdr:to>
      <cdr:x>0.85673</cdr:x>
      <cdr:y>0.37794</cdr:y>
    </cdr:to>
    <cdr:sp macro="" textlink="">
      <cdr:nvSpPr>
        <cdr:cNvPr id="12331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975240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0.02153</cdr:x>
      <cdr:y>0.90395</cdr:y>
    </cdr:from>
    <cdr:to>
      <cdr:x>0.50215</cdr:x>
      <cdr:y>0.97599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8438" y="5080000"/>
          <a:ext cx="4429125" cy="404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* Brash Removal / Mulched / Burned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4608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4608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460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2401" y="1586913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0.02228</cdr:x>
      <cdr:y>0.93734</cdr:y>
    </cdr:from>
    <cdr:to>
      <cdr:x>0.38425</cdr:x>
      <cdr:y>0.99478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5154" y="5260731"/>
          <a:ext cx="3333750" cy="322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* Brash</a:t>
          </a:r>
          <a:r>
            <a:rPr lang="en-GB" sz="1100" baseline="0"/>
            <a:t> Removal / Mulched / Burned</a:t>
          </a:r>
          <a:endParaRPr lang="en-GB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4608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4608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0.15144</cdr:y>
    </cdr:from>
    <cdr:to>
      <cdr:x>0.058</cdr:x>
      <cdr:y>0.65535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75" y="849923"/>
          <a:ext cx="465102" cy="28281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460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2401" y="1586913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0.01193</cdr:x>
      <cdr:y>0.9295</cdr:y>
    </cdr:from>
    <cdr:to>
      <cdr:x>0.47255</cdr:x>
      <cdr:y>0.99478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904" y="5216769"/>
          <a:ext cx="4242288" cy="366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* Brash</a:t>
          </a:r>
          <a:r>
            <a:rPr lang="en-GB" sz="1200" baseline="0"/>
            <a:t> Removal / Mulched / Burned</a:t>
          </a:r>
          <a:endParaRPr lang="en-GB" sz="12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49154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49156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percentage of private sector sections with broadleaves and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49159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2401" y="1586913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0.01512</cdr:x>
      <cdr:y>0.93864</cdr:y>
    </cdr:from>
    <cdr:to>
      <cdr:x>0.48051</cdr:x>
      <cdr:y>0.97911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9212" y="5268058"/>
          <a:ext cx="4286250" cy="2271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* Brash Removal</a:t>
          </a:r>
          <a:r>
            <a:rPr lang="en-GB" sz="1100" baseline="0"/>
            <a:t> / Mulched / Burned</a:t>
          </a:r>
          <a:endParaRPr lang="en-GB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0.03655</cdr:y>
    </cdr:from>
    <cdr:to>
      <cdr:x>0.04694</cdr:x>
      <cdr:y>0.67102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05154"/>
          <a:ext cx="432288" cy="35608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percentge of private sector sections with broadleaves and conifers</a:t>
          </a:r>
        </a:p>
      </cdr:txBody>
    </cdr:sp>
  </cdr:relSizeAnchor>
  <cdr:relSizeAnchor xmlns:cdr="http://schemas.openxmlformats.org/drawingml/2006/chartDrawing">
    <cdr:from>
      <cdr:x>0.80509</cdr:x>
      <cdr:y>0.12253</cdr:y>
    </cdr:from>
    <cdr:to>
      <cdr:x>0.98886</cdr:x>
      <cdr:y>0.42559</cdr:y>
    </cdr:to>
    <cdr:grpSp>
      <cdr:nvGrpSpPr>
        <cdr:cNvPr id="2" name="Group 1"/>
        <cdr:cNvGrpSpPr/>
      </cdr:nvGrpSpPr>
      <cdr:grpSpPr>
        <a:xfrm xmlns:a="http://schemas.openxmlformats.org/drawingml/2006/main">
          <a:off x="7414847" y="687690"/>
          <a:ext cx="1692518" cy="1700901"/>
          <a:chOff x="6170509" y="687690"/>
          <a:chExt cx="1341672" cy="1700901"/>
        </a:xfrm>
      </cdr:grpSpPr>
      <cdr:sp macro="" textlink="">
        <cdr:nvSpPr>
          <cdr:cNvPr id="524289" name="Text Box 1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1906933"/>
            <a:ext cx="1084470" cy="4816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&lt; 3 yrs old</a:t>
            </a:r>
          </a:p>
        </cdr:txBody>
      </cdr:sp>
      <cdr:sp macro="" textlink="">
        <cdr:nvSpPr>
          <cdr:cNvPr id="49154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92489" y="1500032"/>
            <a:ext cx="151964" cy="141714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0084A8" mc:Ignorable="a14" a14:legacySpreadsheetColorIndex="4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2" name="Text Box 4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1420392"/>
            <a:ext cx="1084470" cy="42603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&gt; 3 yrs old</a:t>
            </a:r>
          </a:p>
        </cdr:txBody>
      </cdr:sp>
      <cdr:sp macro="" textlink="">
        <cdr:nvSpPr>
          <cdr:cNvPr id="49156" name="Rectangle 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70509" y="849833"/>
            <a:ext cx="151964" cy="14592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76AD1C" mc:Ignorable="a14" a14:legacySpreadsheetColorIndex="24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4" name="Text Box 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687690"/>
            <a:ext cx="1084470" cy="6677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both &lt; 3yrs and &gt; 3 yrs</a:t>
            </a:r>
          </a:p>
        </cdr:txBody>
      </cdr:sp>
      <cdr:sp macro="" textlink="">
        <cdr:nvSpPr>
          <cdr:cNvPr id="49159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92489" y="1953235"/>
            <a:ext cx="151964" cy="14592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800000" mc:Ignorable="a14" a14:legacySpreadsheetColorIndex="37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0.01512</cdr:x>
      <cdr:y>0.91384</cdr:y>
    </cdr:from>
    <cdr:to>
      <cdr:x>0.44869</cdr:x>
      <cdr:y>0.98825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9212" y="5128846"/>
          <a:ext cx="3993173" cy="41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/>
            <a:t>* Brash Removal / Mulched / Burned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S97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4" width="9" customWidth="1"/>
    <col min="16" max="19" width="9" customWidth="1"/>
  </cols>
  <sheetData>
    <row r="2" spans="1:19" ht="13.5" thickBot="1" x14ac:dyDescent="0.25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x14ac:dyDescent="0.2">
      <c r="A3" s="278"/>
      <c r="B3" s="992" t="s">
        <v>627</v>
      </c>
      <c r="C3" s="993"/>
      <c r="D3" s="993"/>
      <c r="E3" s="993"/>
      <c r="F3" s="993"/>
      <c r="G3" s="993"/>
      <c r="H3" s="993"/>
      <c r="J3" s="994" t="s">
        <v>811</v>
      </c>
      <c r="K3" s="994" t="s">
        <v>812</v>
      </c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995"/>
      <c r="K4" s="995"/>
    </row>
    <row r="5" spans="1:19" s="23" customFormat="1" x14ac:dyDescent="0.2">
      <c r="A5" s="433"/>
      <c r="B5" s="441"/>
      <c r="C5" s="431" t="s">
        <v>106</v>
      </c>
      <c r="D5" s="462">
        <v>181.17345999999995</v>
      </c>
      <c r="E5" s="460">
        <v>1016.37209</v>
      </c>
      <c r="F5" s="439">
        <v>0.64792943065038755</v>
      </c>
      <c r="G5" s="458">
        <f>E5*F5/100</f>
        <v>6.5853738960264447</v>
      </c>
      <c r="H5" s="459">
        <f>SUM(D5,E5)</f>
        <v>1197.5455499999998</v>
      </c>
      <c r="I5" s="433"/>
      <c r="J5" s="893"/>
      <c r="K5" s="893"/>
    </row>
    <row r="6" spans="1:19" s="24" customFormat="1" x14ac:dyDescent="0.2">
      <c r="A6" s="435"/>
      <c r="B6" s="442"/>
      <c r="C6" s="431" t="s">
        <v>92</v>
      </c>
      <c r="D6" s="462">
        <v>127.51262</v>
      </c>
      <c r="E6" s="460">
        <v>177.55427</v>
      </c>
      <c r="F6" s="439">
        <v>1.838364322627509</v>
      </c>
      <c r="G6" s="458">
        <f t="shared" ref="G6:G26" si="0">E6*F6/100</f>
        <v>3.2640943529817186</v>
      </c>
      <c r="H6" s="459">
        <f>SUM(D6,E6)</f>
        <v>305.06689</v>
      </c>
      <c r="I6" s="435"/>
      <c r="J6" s="894"/>
      <c r="K6" s="894"/>
    </row>
    <row r="7" spans="1:19" s="24" customFormat="1" x14ac:dyDescent="0.2">
      <c r="A7" s="435"/>
      <c r="B7" s="442"/>
      <c r="C7" s="431" t="s">
        <v>105</v>
      </c>
      <c r="D7" s="462">
        <v>53.660849999999996</v>
      </c>
      <c r="E7" s="460">
        <v>838.83070999999995</v>
      </c>
      <c r="F7" s="439">
        <v>0.83000155512029494</v>
      </c>
      <c r="G7" s="458">
        <f>E7*F7/100</f>
        <v>6.9623079378266111</v>
      </c>
      <c r="H7" s="459">
        <f>SUM(D7,E7)</f>
        <v>892.49155999999994</v>
      </c>
      <c r="I7" s="435"/>
      <c r="J7" s="894"/>
      <c r="K7" s="894"/>
    </row>
    <row r="8" spans="1:19" s="24" customFormat="1" x14ac:dyDescent="0.2">
      <c r="A8" s="435"/>
      <c r="B8" s="442"/>
      <c r="C8" s="431" t="s">
        <v>84</v>
      </c>
      <c r="D8" s="563">
        <v>48.569420000000001</v>
      </c>
      <c r="E8" s="465">
        <v>31.69772</v>
      </c>
      <c r="F8" s="439">
        <v>6.446195633513951</v>
      </c>
      <c r="G8" s="458">
        <f t="shared" si="0"/>
        <v>2.0432970425634784</v>
      </c>
      <c r="H8" s="459">
        <f>SUM(D8,E8)</f>
        <v>80.267139999999998</v>
      </c>
      <c r="I8" s="435"/>
      <c r="J8" s="895">
        <f>H8/$H$6</f>
        <v>0.26311324706525835</v>
      </c>
      <c r="K8" s="895">
        <f>H8/$H$5</f>
        <v>6.7026377410028384E-2</v>
      </c>
    </row>
    <row r="9" spans="1:19" s="24" customFormat="1" x14ac:dyDescent="0.2">
      <c r="A9" s="435"/>
      <c r="B9" s="442"/>
      <c r="C9" s="431" t="s">
        <v>85</v>
      </c>
      <c r="D9" s="563">
        <v>16.69171</v>
      </c>
      <c r="E9" s="465">
        <v>44.762980000000006</v>
      </c>
      <c r="F9" s="439">
        <v>4.6723785161889415</v>
      </c>
      <c r="G9" s="458">
        <f t="shared" si="0"/>
        <v>2.0914958607259528</v>
      </c>
      <c r="H9" s="459">
        <f t="shared" ref="H9:H26" si="1">SUM(D9,E9)</f>
        <v>61.454690000000006</v>
      </c>
      <c r="I9" s="435"/>
      <c r="J9" s="895">
        <f t="shared" ref="J9:J15" si="2">H9/$H$6</f>
        <v>0.20144660733257552</v>
      </c>
      <c r="K9" s="895">
        <f t="shared" ref="K9:K26" si="3">H9/$H$5</f>
        <v>5.1317204594013156E-2</v>
      </c>
    </row>
    <row r="10" spans="1:19" s="24" customFormat="1" x14ac:dyDescent="0.2">
      <c r="A10" s="435"/>
      <c r="B10" s="442"/>
      <c r="C10" s="431" t="s">
        <v>86</v>
      </c>
      <c r="D10" s="563">
        <v>26.695469999999997</v>
      </c>
      <c r="E10" s="465">
        <v>13.804870000000001</v>
      </c>
      <c r="F10" s="439">
        <v>9.0780336101589345</v>
      </c>
      <c r="G10" s="458">
        <f t="shared" si="0"/>
        <v>1.2532107384387479</v>
      </c>
      <c r="H10" s="459">
        <f t="shared" si="1"/>
        <v>40.500339999999994</v>
      </c>
      <c r="I10" s="435"/>
      <c r="J10" s="895">
        <f t="shared" si="2"/>
        <v>0.1327588844531768</v>
      </c>
      <c r="K10" s="895">
        <f t="shared" si="3"/>
        <v>3.3819456804795443E-2</v>
      </c>
    </row>
    <row r="11" spans="1:19" s="24" customFormat="1" x14ac:dyDescent="0.2">
      <c r="A11" s="435"/>
      <c r="B11" s="442"/>
      <c r="C11" s="431" t="s">
        <v>87</v>
      </c>
      <c r="D11" s="563">
        <v>6.7848999999999995</v>
      </c>
      <c r="E11" s="465">
        <v>20.005980000000001</v>
      </c>
      <c r="F11" s="439">
        <v>6.5982879123414726</v>
      </c>
      <c r="G11" s="458">
        <f t="shared" si="0"/>
        <v>1.3200521600854527</v>
      </c>
      <c r="H11" s="459">
        <f t="shared" si="1"/>
        <v>26.790880000000001</v>
      </c>
      <c r="I11" s="435"/>
      <c r="J11" s="895">
        <f t="shared" si="2"/>
        <v>8.7819690953679044E-2</v>
      </c>
      <c r="K11" s="895">
        <f t="shared" si="3"/>
        <v>2.2371491422601843E-2</v>
      </c>
    </row>
    <row r="12" spans="1:19" s="24" customFormat="1" x14ac:dyDescent="0.2">
      <c r="A12" s="435"/>
      <c r="B12" s="442"/>
      <c r="C12" s="431" t="s">
        <v>88</v>
      </c>
      <c r="D12" s="563">
        <v>9.8961100000000002</v>
      </c>
      <c r="E12" s="465">
        <v>30.346109999999999</v>
      </c>
      <c r="F12" s="439">
        <v>5.0982243069023951</v>
      </c>
      <c r="G12" s="458">
        <f t="shared" si="0"/>
        <v>1.5471127562193385</v>
      </c>
      <c r="H12" s="459">
        <f t="shared" si="1"/>
        <v>40.242220000000003</v>
      </c>
      <c r="I12" s="435"/>
      <c r="J12" s="895">
        <f t="shared" si="2"/>
        <v>0.1319127749327369</v>
      </c>
      <c r="K12" s="895">
        <f t="shared" si="3"/>
        <v>3.3603915942905058E-2</v>
      </c>
    </row>
    <row r="13" spans="1:19" s="24" customFormat="1" x14ac:dyDescent="0.2">
      <c r="A13" s="435"/>
      <c r="B13" s="442"/>
      <c r="C13" s="431" t="s">
        <v>89</v>
      </c>
      <c r="D13" s="563">
        <v>9.8138400000000008</v>
      </c>
      <c r="E13" s="465">
        <v>14.620640000000002</v>
      </c>
      <c r="F13" s="439">
        <v>7.6280447221036676</v>
      </c>
      <c r="G13" s="458">
        <f t="shared" si="0"/>
        <v>1.1152689578577779</v>
      </c>
      <c r="H13" s="459">
        <f t="shared" si="1"/>
        <v>24.434480000000001</v>
      </c>
      <c r="I13" s="435"/>
      <c r="J13" s="895">
        <f t="shared" si="2"/>
        <v>8.009548332170692E-2</v>
      </c>
      <c r="K13" s="895">
        <f t="shared" si="3"/>
        <v>2.0403800089274268E-2</v>
      </c>
    </row>
    <row r="14" spans="1:19" s="24" customFormat="1" x14ac:dyDescent="0.2">
      <c r="A14" s="435"/>
      <c r="B14" s="442"/>
      <c r="C14" s="431" t="s">
        <v>90</v>
      </c>
      <c r="D14" s="563">
        <v>4.3978400000000004</v>
      </c>
      <c r="E14" s="465">
        <v>3.2974200000000002</v>
      </c>
      <c r="F14" s="439">
        <v>17.083189747781525</v>
      </c>
      <c r="G14" s="458">
        <f t="shared" si="0"/>
        <v>0.56330451538129755</v>
      </c>
      <c r="H14" s="459">
        <f t="shared" si="1"/>
        <v>7.6952600000000011</v>
      </c>
      <c r="I14" s="435"/>
      <c r="J14" s="895">
        <f t="shared" si="2"/>
        <v>2.5224828561368956E-2</v>
      </c>
      <c r="K14" s="895">
        <f t="shared" si="3"/>
        <v>6.4258599599823175E-3</v>
      </c>
    </row>
    <row r="15" spans="1:19" s="24" customFormat="1" x14ac:dyDescent="0.2">
      <c r="A15" s="435"/>
      <c r="B15" s="442"/>
      <c r="C15" s="431" t="s">
        <v>91</v>
      </c>
      <c r="D15" s="563">
        <v>4.6632799999999994</v>
      </c>
      <c r="E15" s="465">
        <v>18.756619999999998</v>
      </c>
      <c r="F15" s="439">
        <v>6.8993012274003886</v>
      </c>
      <c r="G15" s="458">
        <f t="shared" si="0"/>
        <v>1.2940757138788266</v>
      </c>
      <c r="H15" s="459">
        <f t="shared" si="1"/>
        <v>23.419899999999998</v>
      </c>
      <c r="I15" s="435"/>
      <c r="J15" s="896">
        <f t="shared" si="2"/>
        <v>7.6769720896292609E-2</v>
      </c>
      <c r="K15" s="895">
        <f t="shared" si="3"/>
        <v>1.9556583881089117E-2</v>
      </c>
    </row>
    <row r="16" spans="1:19" s="24" customFormat="1" x14ac:dyDescent="0.2">
      <c r="A16" s="435"/>
      <c r="B16" s="442"/>
      <c r="C16" s="431" t="s">
        <v>94</v>
      </c>
      <c r="D16" s="462">
        <v>15.691970000000001</v>
      </c>
      <c r="E16" s="563">
        <v>150.71477000000002</v>
      </c>
      <c r="F16" s="563">
        <v>2.5538579194905484</v>
      </c>
      <c r="G16" s="458">
        <f t="shared" si="0"/>
        <v>3.8490410894869656</v>
      </c>
      <c r="H16" s="459">
        <f t="shared" si="1"/>
        <v>166.40674000000001</v>
      </c>
      <c r="I16" s="435"/>
      <c r="J16" s="895">
        <f>H16/$H$7</f>
        <v>0.18645189204926491</v>
      </c>
      <c r="K16" s="895">
        <f t="shared" si="3"/>
        <v>0.1389565014875635</v>
      </c>
    </row>
    <row r="17" spans="1:18" s="24" customFormat="1" x14ac:dyDescent="0.2">
      <c r="A17" s="435"/>
      <c r="B17" s="442"/>
      <c r="C17" s="431" t="s">
        <v>95</v>
      </c>
      <c r="D17" s="462">
        <v>12.705789999999997</v>
      </c>
      <c r="E17" s="563">
        <v>57.608029999999999</v>
      </c>
      <c r="F17" s="563">
        <v>4.2695556455119483</v>
      </c>
      <c r="G17" s="458">
        <f t="shared" si="0"/>
        <v>2.4596068971332166</v>
      </c>
      <c r="H17" s="459">
        <f t="shared" si="1"/>
        <v>70.313819999999993</v>
      </c>
      <c r="I17" s="435"/>
      <c r="J17" s="895">
        <f t="shared" ref="J17:J26" si="4">H17/$H$7</f>
        <v>7.8783736621554148E-2</v>
      </c>
      <c r="K17" s="895">
        <f t="shared" si="3"/>
        <v>5.8714944078745064E-2</v>
      </c>
    </row>
    <row r="18" spans="1:18" s="24" customFormat="1" x14ac:dyDescent="0.2">
      <c r="A18" s="435"/>
      <c r="B18" s="442"/>
      <c r="C18" s="431" t="s">
        <v>96</v>
      </c>
      <c r="D18" s="462">
        <v>1.13195</v>
      </c>
      <c r="E18" s="563">
        <v>74.428979999999996</v>
      </c>
      <c r="F18" s="563">
        <v>3.8546357073984203</v>
      </c>
      <c r="G18" s="458">
        <f t="shared" si="0"/>
        <v>2.8689660397324288</v>
      </c>
      <c r="H18" s="459">
        <f t="shared" si="1"/>
        <v>75.560929999999999</v>
      </c>
      <c r="I18" s="435"/>
      <c r="J18" s="895">
        <f t="shared" si="4"/>
        <v>8.4662907064353643E-2</v>
      </c>
      <c r="K18" s="895">
        <f t="shared" si="3"/>
        <v>6.3096497665579412E-2</v>
      </c>
    </row>
    <row r="19" spans="1:18" s="24" customFormat="1" x14ac:dyDescent="0.2">
      <c r="A19" s="435"/>
      <c r="B19" s="442"/>
      <c r="C19" s="431" t="s">
        <v>97</v>
      </c>
      <c r="D19" s="462">
        <v>2.9447799999999997</v>
      </c>
      <c r="E19" s="563">
        <v>117.61790000000001</v>
      </c>
      <c r="F19" s="563">
        <v>2.7270042930829193</v>
      </c>
      <c r="G19" s="458">
        <f t="shared" si="0"/>
        <v>3.2074451824339754</v>
      </c>
      <c r="H19" s="459">
        <f t="shared" si="1"/>
        <v>120.56268</v>
      </c>
      <c r="I19" s="435"/>
      <c r="J19" s="895">
        <f t="shared" si="4"/>
        <v>0.13508551274143143</v>
      </c>
      <c r="K19" s="895">
        <f t="shared" si="3"/>
        <v>0.10067481775536639</v>
      </c>
    </row>
    <row r="20" spans="1:18" s="24" customFormat="1" x14ac:dyDescent="0.2">
      <c r="A20" s="435"/>
      <c r="B20" s="442"/>
      <c r="C20" s="431" t="s">
        <v>98</v>
      </c>
      <c r="D20" s="462">
        <v>5.7794400000000001</v>
      </c>
      <c r="E20" s="563">
        <v>89.681929999999994</v>
      </c>
      <c r="F20" s="563">
        <v>3.3719981917071751</v>
      </c>
      <c r="G20" s="458">
        <f t="shared" si="0"/>
        <v>3.0240730578880943</v>
      </c>
      <c r="H20" s="459">
        <f t="shared" si="1"/>
        <v>95.461369999999988</v>
      </c>
      <c r="I20" s="435"/>
      <c r="J20" s="895">
        <f t="shared" si="4"/>
        <v>0.10696052968837039</v>
      </c>
      <c r="K20" s="895">
        <f t="shared" si="3"/>
        <v>7.9714187072049164E-2</v>
      </c>
    </row>
    <row r="21" spans="1:18" s="24" customFormat="1" x14ac:dyDescent="0.2">
      <c r="A21" s="435"/>
      <c r="B21" s="442"/>
      <c r="C21" s="431" t="s">
        <v>99</v>
      </c>
      <c r="D21" s="462">
        <v>0.83292999999999995</v>
      </c>
      <c r="E21" s="563">
        <v>29.271480000000004</v>
      </c>
      <c r="F21" s="563">
        <v>7.1523689695188057</v>
      </c>
      <c r="G21" s="458">
        <f t="shared" si="0"/>
        <v>2.0936042524389036</v>
      </c>
      <c r="H21" s="459">
        <f t="shared" si="1"/>
        <v>30.104410000000005</v>
      </c>
      <c r="I21" s="435"/>
      <c r="J21" s="895">
        <f t="shared" si="4"/>
        <v>3.3730750350176988E-2</v>
      </c>
      <c r="K21" s="895">
        <f t="shared" si="3"/>
        <v>2.5138425841088056E-2</v>
      </c>
    </row>
    <row r="22" spans="1:18" s="24" customFormat="1" x14ac:dyDescent="0.2">
      <c r="A22" s="435"/>
      <c r="B22" s="442"/>
      <c r="C22" s="431" t="s">
        <v>100</v>
      </c>
      <c r="D22" s="462">
        <v>0.42374000000000001</v>
      </c>
      <c r="E22" s="563">
        <v>62.353940000000001</v>
      </c>
      <c r="F22" s="563">
        <v>3.7521788418596067</v>
      </c>
      <c r="G22" s="458">
        <f t="shared" si="0"/>
        <v>2.3396313437458343</v>
      </c>
      <c r="H22" s="459">
        <f t="shared" si="1"/>
        <v>62.777680000000004</v>
      </c>
      <c r="I22" s="435"/>
      <c r="J22" s="895">
        <f t="shared" si="4"/>
        <v>7.0339802429056034E-2</v>
      </c>
      <c r="K22" s="895">
        <f t="shared" si="3"/>
        <v>5.2421955891364641E-2</v>
      </c>
    </row>
    <row r="23" spans="1:18" s="24" customFormat="1" x14ac:dyDescent="0.2">
      <c r="A23" s="435"/>
      <c r="B23" s="442"/>
      <c r="C23" s="431" t="s">
        <v>101</v>
      </c>
      <c r="D23" s="462">
        <v>1.7900000000000001E-3</v>
      </c>
      <c r="E23" s="563">
        <v>55.823369999999997</v>
      </c>
      <c r="F23" s="563">
        <v>7.5813972768353226</v>
      </c>
      <c r="G23" s="458">
        <f t="shared" si="0"/>
        <v>4.2321914530177063</v>
      </c>
      <c r="H23" s="459">
        <f t="shared" si="1"/>
        <v>55.825159999999997</v>
      </c>
      <c r="I23" s="435"/>
      <c r="J23" s="895">
        <f t="shared" si="4"/>
        <v>6.2549790386813298E-2</v>
      </c>
      <c r="K23" s="895">
        <f t="shared" si="3"/>
        <v>4.6616314510959524E-2</v>
      </c>
    </row>
    <row r="24" spans="1:18" s="24" customFormat="1" x14ac:dyDescent="0.2">
      <c r="A24" s="435"/>
      <c r="B24" s="442"/>
      <c r="C24" s="431" t="s">
        <v>102</v>
      </c>
      <c r="D24" s="462">
        <v>0.50868000000000002</v>
      </c>
      <c r="E24" s="563">
        <v>30.063890000000008</v>
      </c>
      <c r="F24" s="563">
        <v>6.1532893333423777</v>
      </c>
      <c r="G24" s="458">
        <f t="shared" si="0"/>
        <v>1.8499181365577864</v>
      </c>
      <c r="H24" s="459">
        <f t="shared" si="1"/>
        <v>30.572570000000006</v>
      </c>
      <c r="I24" s="435"/>
      <c r="J24" s="895">
        <f t="shared" si="4"/>
        <v>3.4255304330272893E-2</v>
      </c>
      <c r="K24" s="895">
        <f t="shared" si="3"/>
        <v>2.5529358778879026E-2</v>
      </c>
    </row>
    <row r="25" spans="1:18" s="24" customFormat="1" x14ac:dyDescent="0.2">
      <c r="A25" s="435"/>
      <c r="B25" s="442"/>
      <c r="C25" s="431" t="s">
        <v>103</v>
      </c>
      <c r="D25" s="462">
        <v>3.2500000000000001E-2</v>
      </c>
      <c r="E25" s="563">
        <v>40.274530000000006</v>
      </c>
      <c r="F25" s="563">
        <v>5.3141951746015446</v>
      </c>
      <c r="G25" s="458">
        <f t="shared" si="0"/>
        <v>2.1402671298534517</v>
      </c>
      <c r="H25" s="459">
        <f t="shared" si="1"/>
        <v>40.307030000000005</v>
      </c>
      <c r="I25" s="435"/>
      <c r="J25" s="895">
        <f t="shared" si="4"/>
        <v>4.5162365456990997E-2</v>
      </c>
      <c r="K25" s="895">
        <f t="shared" si="3"/>
        <v>3.3658034969943323E-2</v>
      </c>
    </row>
    <row r="26" spans="1:18" s="24" customFormat="1" ht="13.5" thickBot="1" x14ac:dyDescent="0.25">
      <c r="A26" s="435"/>
      <c r="B26" s="297"/>
      <c r="C26" s="936" t="s">
        <v>104</v>
      </c>
      <c r="D26" s="937">
        <v>13.607280000000001</v>
      </c>
      <c r="E26" s="938">
        <v>130.07605999999998</v>
      </c>
      <c r="F26" s="938">
        <v>2.8019746628217761</v>
      </c>
      <c r="G26" s="939">
        <f t="shared" si="0"/>
        <v>3.6446982435968507</v>
      </c>
      <c r="H26" s="457">
        <f t="shared" si="1"/>
        <v>143.68333999999999</v>
      </c>
      <c r="I26" s="435"/>
      <c r="J26" s="897">
        <f t="shared" si="4"/>
        <v>0.16099125912182297</v>
      </c>
      <c r="K26" s="897">
        <f t="shared" si="3"/>
        <v>0.11998152387606469</v>
      </c>
    </row>
    <row r="27" spans="1:18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8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  <row r="29" spans="1:18" s="24" customFormat="1" x14ac:dyDescent="0.2">
      <c r="B29" s="992" t="s">
        <v>627</v>
      </c>
      <c r="C29" s="993"/>
      <c r="D29" s="993"/>
      <c r="E29" s="993"/>
      <c r="F29" s="993"/>
      <c r="G29" s="993"/>
      <c r="H29" s="993"/>
    </row>
    <row r="30" spans="1:18" s="24" customFormat="1" x14ac:dyDescent="0.2">
      <c r="B30" s="286"/>
      <c r="C30" s="286" t="s">
        <v>709</v>
      </c>
      <c r="D30" s="445" t="s">
        <v>78</v>
      </c>
      <c r="E30" s="445" t="s">
        <v>309</v>
      </c>
      <c r="F30" s="445" t="s">
        <v>82</v>
      </c>
      <c r="G30" s="445" t="s">
        <v>310</v>
      </c>
      <c r="H30" s="445" t="s">
        <v>486</v>
      </c>
    </row>
    <row r="31" spans="1:18" s="23" customFormat="1" x14ac:dyDescent="0.2">
      <c r="B31" s="441" t="s">
        <v>92</v>
      </c>
      <c r="C31" s="431" t="s">
        <v>119</v>
      </c>
      <c r="D31" s="462">
        <v>17.899469999999997</v>
      </c>
      <c r="E31" s="460">
        <v>7.0059100000000001</v>
      </c>
      <c r="F31" s="439">
        <v>40.581210400008011</v>
      </c>
      <c r="G31" s="458">
        <f>E31*F31/100</f>
        <v>2.8430830775352014</v>
      </c>
      <c r="H31" s="459">
        <f>SUM(D31,E31)</f>
        <v>24.905379999999997</v>
      </c>
      <c r="K31" t="s">
        <v>379</v>
      </c>
      <c r="L31" t="s">
        <v>611</v>
      </c>
      <c r="M31" t="s">
        <v>612</v>
      </c>
      <c r="N31" t="s">
        <v>613</v>
      </c>
      <c r="O31" t="s">
        <v>614</v>
      </c>
      <c r="P31" t="s">
        <v>613</v>
      </c>
      <c r="Q31" t="s">
        <v>615</v>
      </c>
      <c r="R31" t="s">
        <v>613</v>
      </c>
    </row>
    <row r="32" spans="1:18" s="23" customFormat="1" x14ac:dyDescent="0.2">
      <c r="B32" s="441"/>
      <c r="C32" s="431" t="s">
        <v>120</v>
      </c>
      <c r="D32" s="462">
        <v>15.17465</v>
      </c>
      <c r="E32" s="460">
        <v>9.2496700000000001</v>
      </c>
      <c r="F32" s="439">
        <v>16.749083411277184</v>
      </c>
      <c r="G32" s="458">
        <f t="shared" ref="G32:G37" si="5">E32*F32/100</f>
        <v>1.5492349435678825</v>
      </c>
      <c r="H32" s="459">
        <f t="shared" ref="H32:H37" si="6">SUM(D32,E32)</f>
        <v>24.424320000000002</v>
      </c>
      <c r="K32">
        <v>2012</v>
      </c>
      <c r="L32" t="s">
        <v>616</v>
      </c>
      <c r="M32" s="540">
        <v>6421.39</v>
      </c>
      <c r="N32" s="540">
        <v>12.97</v>
      </c>
      <c r="O32" s="540">
        <v>1447.32</v>
      </c>
      <c r="P32" s="540">
        <v>41.24</v>
      </c>
      <c r="Q32" s="540">
        <v>5043.2</v>
      </c>
      <c r="R32" s="540">
        <v>12.79</v>
      </c>
    </row>
    <row r="33" spans="2:18" s="23" customFormat="1" x14ac:dyDescent="0.2">
      <c r="B33" s="441"/>
      <c r="C33" s="431" t="s">
        <v>121</v>
      </c>
      <c r="D33" s="462">
        <v>44.238689999999998</v>
      </c>
      <c r="E33" s="460">
        <v>53.01153</v>
      </c>
      <c r="F33" s="439">
        <v>6.3541107745991585</v>
      </c>
      <c r="G33" s="458">
        <f t="shared" si="5"/>
        <v>3.3684113395098656</v>
      </c>
      <c r="H33" s="459">
        <f t="shared" si="6"/>
        <v>97.250219999999999</v>
      </c>
      <c r="K33"/>
      <c r="L33" t="s">
        <v>617</v>
      </c>
      <c r="M33" s="540">
        <v>6816.2</v>
      </c>
      <c r="N33" s="540">
        <v>11.52</v>
      </c>
      <c r="O33" s="540">
        <v>1036.76</v>
      </c>
      <c r="P33" s="540">
        <v>33.409999999999997</v>
      </c>
      <c r="Q33" s="540">
        <v>5778.22</v>
      </c>
      <c r="R33" s="540">
        <v>11.81</v>
      </c>
    </row>
    <row r="34" spans="2:18" s="23" customFormat="1" x14ac:dyDescent="0.2">
      <c r="B34" s="441"/>
      <c r="C34" s="431" t="s">
        <v>122</v>
      </c>
      <c r="D34" s="462">
        <v>36.325769999999999</v>
      </c>
      <c r="E34" s="460">
        <v>83.497649999999993</v>
      </c>
      <c r="F34" s="439">
        <v>4.1519858845392523</v>
      </c>
      <c r="G34" s="458">
        <f t="shared" si="5"/>
        <v>3.4668106419219886</v>
      </c>
      <c r="H34" s="459">
        <f t="shared" si="6"/>
        <v>119.82342</v>
      </c>
      <c r="K34"/>
      <c r="L34" s="450" t="s">
        <v>618</v>
      </c>
      <c r="M34" s="541">
        <v>7026.05</v>
      </c>
      <c r="N34" s="541">
        <v>12.12</v>
      </c>
      <c r="O34" s="541">
        <v>2781</v>
      </c>
      <c r="P34" s="541">
        <v>20.350000000000001</v>
      </c>
      <c r="Q34" s="541">
        <v>4292.42</v>
      </c>
      <c r="R34" s="541">
        <v>14.49</v>
      </c>
    </row>
    <row r="35" spans="2:18" s="23" customFormat="1" x14ac:dyDescent="0.2">
      <c r="B35" s="441"/>
      <c r="C35" s="431" t="s">
        <v>123</v>
      </c>
      <c r="D35" s="462">
        <v>9.3446099999999994</v>
      </c>
      <c r="E35" s="460">
        <v>19.489659999999997</v>
      </c>
      <c r="F35" s="439">
        <v>9.8543432177060701</v>
      </c>
      <c r="G35" s="458">
        <f t="shared" si="5"/>
        <v>1.9205779883639726</v>
      </c>
      <c r="H35" s="459">
        <f t="shared" si="6"/>
        <v>28.834269999999997</v>
      </c>
      <c r="K35"/>
      <c r="L35" s="450" t="s">
        <v>619</v>
      </c>
      <c r="M35" s="541">
        <v>7674.82</v>
      </c>
      <c r="N35" s="541">
        <v>11.97</v>
      </c>
      <c r="O35" s="541">
        <v>3048.07</v>
      </c>
      <c r="P35" s="541">
        <v>21.05</v>
      </c>
      <c r="Q35" s="541">
        <v>4661.88</v>
      </c>
      <c r="R35" s="541">
        <v>13.55</v>
      </c>
    </row>
    <row r="36" spans="2:18" s="23" customFormat="1" x14ac:dyDescent="0.2">
      <c r="B36" s="441"/>
      <c r="C36" s="431" t="s">
        <v>124</v>
      </c>
      <c r="D36" s="462">
        <v>3.8963100000000002</v>
      </c>
      <c r="E36" s="460">
        <v>2.83283</v>
      </c>
      <c r="F36" s="439">
        <v>28.027277997986701</v>
      </c>
      <c r="G36" s="458">
        <f t="shared" si="5"/>
        <v>0.79396513931036661</v>
      </c>
      <c r="H36" s="459">
        <f t="shared" si="6"/>
        <v>6.7291400000000001</v>
      </c>
      <c r="K36"/>
      <c r="L36" s="451" t="s">
        <v>620</v>
      </c>
      <c r="M36" s="542">
        <v>8590.1299999999992</v>
      </c>
      <c r="N36" s="542">
        <v>10.91</v>
      </c>
      <c r="O36" s="542">
        <v>4831.0200000000004</v>
      </c>
      <c r="P36" s="542">
        <v>14.81</v>
      </c>
      <c r="Q36" s="542">
        <v>3667.59</v>
      </c>
      <c r="R36" s="542">
        <v>16.489999999999998</v>
      </c>
    </row>
    <row r="37" spans="2:18" s="23" customFormat="1" x14ac:dyDescent="0.2">
      <c r="B37" s="441"/>
      <c r="C37" s="431" t="s">
        <v>125</v>
      </c>
      <c r="D37" s="462">
        <v>0.78931000000000018</v>
      </c>
      <c r="E37" s="460">
        <v>2.4670000000000001</v>
      </c>
      <c r="F37" s="439">
        <v>22.65137193852992</v>
      </c>
      <c r="G37" s="458">
        <f t="shared" si="5"/>
        <v>0.55880934572353314</v>
      </c>
      <c r="H37" s="459">
        <f t="shared" si="6"/>
        <v>3.25631</v>
      </c>
      <c r="K37"/>
      <c r="L37" s="451" t="s">
        <v>621</v>
      </c>
      <c r="M37" s="542">
        <v>6257.39</v>
      </c>
      <c r="N37" s="542">
        <v>13.06</v>
      </c>
      <c r="O37" s="542">
        <v>2838.3</v>
      </c>
      <c r="P37" s="542">
        <v>19.71</v>
      </c>
      <c r="Q37" s="542">
        <v>3378.89</v>
      </c>
      <c r="R37" s="542">
        <v>17.47</v>
      </c>
    </row>
    <row r="38" spans="2:18" s="23" customFormat="1" x14ac:dyDescent="0.2">
      <c r="B38" s="441"/>
      <c r="C38" s="431"/>
      <c r="D38" s="462"/>
      <c r="E38" s="460"/>
      <c r="F38" s="439"/>
      <c r="G38" s="463"/>
      <c r="H38" s="464"/>
      <c r="K38"/>
      <c r="L38" t="s">
        <v>622</v>
      </c>
      <c r="M38" s="540">
        <v>9533.2099999999991</v>
      </c>
      <c r="N38" s="540">
        <v>10.35</v>
      </c>
      <c r="O38" s="540">
        <v>1587.3</v>
      </c>
      <c r="P38" s="540">
        <v>25.89</v>
      </c>
      <c r="Q38" s="540">
        <v>7906.36</v>
      </c>
      <c r="R38" s="540">
        <v>11.65</v>
      </c>
    </row>
    <row r="39" spans="2:18" s="23" customFormat="1" x14ac:dyDescent="0.2">
      <c r="B39" s="441" t="s">
        <v>105</v>
      </c>
      <c r="C39" s="431" t="s">
        <v>119</v>
      </c>
      <c r="D39" s="462">
        <v>4.0579400000000003</v>
      </c>
      <c r="E39" s="460">
        <v>98.771830000000008</v>
      </c>
      <c r="F39" s="439">
        <v>16.219390528286016</v>
      </c>
      <c r="G39" s="458">
        <f>E39*F39/100</f>
        <v>16.02018883963477</v>
      </c>
      <c r="H39" s="459">
        <f>SUM(D39,E39)</f>
        <v>102.82977000000001</v>
      </c>
      <c r="K39"/>
      <c r="L39" t="s">
        <v>623</v>
      </c>
      <c r="M39" s="540">
        <v>5886.85</v>
      </c>
      <c r="N39" s="540">
        <v>12.59</v>
      </c>
      <c r="O39" s="540">
        <v>72.569999999999993</v>
      </c>
      <c r="P39" s="540">
        <v>54.93</v>
      </c>
      <c r="Q39" s="540">
        <v>5805.48</v>
      </c>
      <c r="R39" s="540">
        <v>12.65</v>
      </c>
    </row>
    <row r="40" spans="2:18" s="23" customFormat="1" x14ac:dyDescent="0.2">
      <c r="B40" s="441"/>
      <c r="C40" s="431" t="s">
        <v>120</v>
      </c>
      <c r="D40" s="462">
        <v>4.4019700000000004</v>
      </c>
      <c r="E40" s="460">
        <v>114.97349999999999</v>
      </c>
      <c r="F40" s="439">
        <v>5.1891088111394241</v>
      </c>
      <c r="G40" s="458">
        <f t="shared" ref="G40:G45" si="7">E40*F40/100</f>
        <v>5.9661000189753848</v>
      </c>
      <c r="H40" s="459">
        <f t="shared" ref="H40:H45" si="8">SUM(D40,E40)</f>
        <v>119.37546999999999</v>
      </c>
      <c r="K40"/>
      <c r="L40" s="450" t="s">
        <v>624</v>
      </c>
      <c r="M40" s="541">
        <v>1274.45</v>
      </c>
      <c r="N40" s="541">
        <v>28.15</v>
      </c>
      <c r="O40" s="541">
        <v>0</v>
      </c>
      <c r="P40" s="541">
        <v>0</v>
      </c>
      <c r="Q40" s="541">
        <v>1273.5999999999999</v>
      </c>
      <c r="R40" s="541">
        <v>28.17</v>
      </c>
    </row>
    <row r="41" spans="2:18" s="23" customFormat="1" x14ac:dyDescent="0.2">
      <c r="B41" s="441"/>
      <c r="C41" s="431" t="s">
        <v>121</v>
      </c>
      <c r="D41" s="462">
        <v>5.6660299999999992</v>
      </c>
      <c r="E41" s="460">
        <v>226.23848999999998</v>
      </c>
      <c r="F41" s="439">
        <v>2.9087458959919741</v>
      </c>
      <c r="G41" s="458">
        <f t="shared" si="7"/>
        <v>6.5807027930292126</v>
      </c>
      <c r="H41" s="459">
        <f t="shared" si="8"/>
        <v>231.90451999999999</v>
      </c>
      <c r="K41"/>
      <c r="L41" s="450" t="s">
        <v>625</v>
      </c>
      <c r="M41" s="541">
        <v>309.23</v>
      </c>
      <c r="N41" s="541">
        <v>51.31</v>
      </c>
      <c r="O41" s="541">
        <v>0</v>
      </c>
      <c r="P41" s="541">
        <v>0</v>
      </c>
      <c r="Q41" s="541">
        <v>309.23</v>
      </c>
      <c r="R41" s="541">
        <v>51.31</v>
      </c>
    </row>
    <row r="42" spans="2:18" s="23" customFormat="1" x14ac:dyDescent="0.2">
      <c r="B42" s="441"/>
      <c r="C42" s="431" t="s">
        <v>122</v>
      </c>
      <c r="D42" s="462">
        <v>12.500200000000003</v>
      </c>
      <c r="E42" s="460">
        <v>144.22015000000002</v>
      </c>
      <c r="F42" s="439">
        <v>3.5284345597586744</v>
      </c>
      <c r="G42" s="458">
        <f t="shared" si="7"/>
        <v>5.0887136147358003</v>
      </c>
      <c r="H42" s="459">
        <f t="shared" si="8"/>
        <v>156.72035000000002</v>
      </c>
      <c r="K42"/>
      <c r="L42" s="450" t="s">
        <v>626</v>
      </c>
      <c r="M42" s="541">
        <v>26.37</v>
      </c>
      <c r="N42" s="541">
        <v>68.489999999999995</v>
      </c>
      <c r="O42" s="541">
        <v>0</v>
      </c>
      <c r="P42" s="541">
        <v>0</v>
      </c>
      <c r="Q42" s="541">
        <v>25.96</v>
      </c>
      <c r="R42" s="541">
        <v>67.98</v>
      </c>
    </row>
    <row r="43" spans="2:18" s="23" customFormat="1" x14ac:dyDescent="0.2">
      <c r="B43" s="441"/>
      <c r="C43" s="431" t="s">
        <v>123</v>
      </c>
      <c r="D43" s="462">
        <v>12.548170000000001</v>
      </c>
      <c r="E43" s="460">
        <v>115.30089000000001</v>
      </c>
      <c r="F43" s="439">
        <v>4.0225677854241475</v>
      </c>
      <c r="G43" s="458">
        <f t="shared" si="7"/>
        <v>4.6380564574473331</v>
      </c>
      <c r="H43" s="459">
        <f t="shared" si="8"/>
        <v>127.84906000000001</v>
      </c>
    </row>
    <row r="44" spans="2:18" s="23" customFormat="1" x14ac:dyDescent="0.2">
      <c r="B44" s="441"/>
      <c r="C44" s="431" t="s">
        <v>124</v>
      </c>
      <c r="D44" s="462">
        <v>4.0968599999999995</v>
      </c>
      <c r="E44" s="460">
        <v>90.600660000000005</v>
      </c>
      <c r="F44" s="439">
        <v>4.7022206305748728</v>
      </c>
      <c r="G44" s="458">
        <f t="shared" si="7"/>
        <v>4.2602429259569972</v>
      </c>
      <c r="H44" s="459">
        <f t="shared" si="8"/>
        <v>94.697519999999997</v>
      </c>
      <c r="L44" s="431" t="s">
        <v>121</v>
      </c>
      <c r="M44" s="346">
        <f>SUM(M34:M35)</f>
        <v>14700.869999999999</v>
      </c>
      <c r="N44" s="23">
        <f>IF(SUM(M34:M35)=0,0,SQRT(SUMSQ(M34*N34,M35*N35))/SUM(M34:M35))</f>
        <v>8.520878800779613</v>
      </c>
      <c r="O44" s="346">
        <f>SUM(O34:O35)</f>
        <v>5829.07</v>
      </c>
      <c r="P44" s="23">
        <f>IF(SUM(O34:O35)=0,0,SQRT(SUMSQ(O34*P34,O35*P35))/SUM(O34:O35))</f>
        <v>14.677193415070608</v>
      </c>
      <c r="Q44" s="346">
        <f>SUM(Q34:Q35)</f>
        <v>8954.2999999999993</v>
      </c>
      <c r="R44" s="23">
        <f>IF(SUM(Q34:Q35)=0,0,SQRT(SUMSQ(Q34*R34,Q35*R35))/SUM(Q34:Q35))</f>
        <v>9.9002216429966783</v>
      </c>
    </row>
    <row r="45" spans="2:18" s="23" customFormat="1" x14ac:dyDescent="0.2">
      <c r="B45" s="441"/>
      <c r="C45" s="431" t="s">
        <v>125</v>
      </c>
      <c r="D45" s="462">
        <v>10.393650000000001</v>
      </c>
      <c r="E45" s="460">
        <v>48.725180000000002</v>
      </c>
      <c r="F45" s="439">
        <v>6.814621005177024</v>
      </c>
      <c r="G45" s="458">
        <f t="shared" si="7"/>
        <v>3.3204363510903141</v>
      </c>
      <c r="H45" s="459">
        <f t="shared" si="8"/>
        <v>59.118830000000003</v>
      </c>
      <c r="L45" s="431" t="s">
        <v>122</v>
      </c>
      <c r="M45" s="346">
        <f>SUM(M36:M37)</f>
        <v>14847.52</v>
      </c>
      <c r="N45" s="23">
        <f>IF(SUM(M36:M37)=0,0,SQRT(SUMSQ(M36*N36,M37*N37))/SUM(M36:M37))</f>
        <v>8.3747586455915588</v>
      </c>
      <c r="O45" s="346">
        <f>SUM(O36:O37)</f>
        <v>7669.3200000000006</v>
      </c>
      <c r="P45" s="23">
        <f>IF(SUM(O36:O37)=0,0,SQRT(SUMSQ(O36*P36,O37*P37))/SUM(O36:O37))</f>
        <v>11.84225147924476</v>
      </c>
      <c r="Q45" s="346">
        <f>SUM(Q36:Q37)</f>
        <v>7046.48</v>
      </c>
      <c r="R45" s="23">
        <f>IF(SUM(Q36:Q37)=0,0,SQRT(SUMSQ(Q36*R36,Q37*R37))/SUM(Q36:Q37))</f>
        <v>11.993359379486805</v>
      </c>
    </row>
    <row r="46" spans="2:18" s="23" customFormat="1" x14ac:dyDescent="0.2">
      <c r="B46" s="441"/>
      <c r="C46" s="431"/>
      <c r="D46" s="462"/>
      <c r="E46" s="460"/>
      <c r="F46" s="439"/>
      <c r="G46" s="463"/>
      <c r="H46" s="464"/>
      <c r="L46" s="431" t="s">
        <v>125</v>
      </c>
      <c r="M46" s="346">
        <f>SUM(M40:M42)</f>
        <v>1610.05</v>
      </c>
      <c r="N46" s="23">
        <f>IF(SUM(M40:M42)=0,0,SQRT(SUMSQ(M40*N40,M41*N41,M42*N42))/SUM(M40:M42))</f>
        <v>24.390139157244757</v>
      </c>
      <c r="O46" s="346">
        <f>SUM(O40:O42)</f>
        <v>0</v>
      </c>
      <c r="P46" s="23">
        <f>IF(SUM(O40:O42)=0,0,SQRT(SUMSQ(O40*P40,O41*P41,O42*P42))/SUM(O40:O42))</f>
        <v>0</v>
      </c>
      <c r="Q46" s="346">
        <f>SUM(Q40:Q42)</f>
        <v>1608.79</v>
      </c>
      <c r="R46" s="23">
        <f>IF(SUM(Q40:Q42)=0,0,SQRT(SUMSQ(Q40*R40,Q41*R41,Q42*R42))/SUM(Q40:Q42))</f>
        <v>24.408950780528503</v>
      </c>
    </row>
    <row r="47" spans="2:18" s="23" customFormat="1" x14ac:dyDescent="0.2">
      <c r="B47" s="441" t="s">
        <v>106</v>
      </c>
      <c r="C47" s="431" t="s">
        <v>119</v>
      </c>
      <c r="D47" s="462">
        <v>21.957409999999999</v>
      </c>
      <c r="E47" s="460">
        <v>105.80068000000001</v>
      </c>
      <c r="F47" s="439">
        <v>15.910091235187485</v>
      </c>
      <c r="G47" s="458">
        <f>E47*F47/100</f>
        <v>16.83298471544876</v>
      </c>
      <c r="H47" s="459">
        <f>SUM(D47,E47)</f>
        <v>127.75809000000001</v>
      </c>
    </row>
    <row r="48" spans="2:18" s="23" customFormat="1" x14ac:dyDescent="0.2">
      <c r="B48" s="441"/>
      <c r="C48" s="431" t="s">
        <v>120</v>
      </c>
      <c r="D48" s="462">
        <v>19.576630000000002</v>
      </c>
      <c r="E48" s="460">
        <v>124.25308000000001</v>
      </c>
      <c r="F48" s="439">
        <v>5.0253311074682934</v>
      </c>
      <c r="G48" s="458">
        <f t="shared" ref="G48:G53" si="9">E48*F48/100</f>
        <v>6.2441286812274654</v>
      </c>
      <c r="H48" s="459">
        <f t="shared" ref="H48:H53" si="10">SUM(D48,E48)</f>
        <v>143.82971000000001</v>
      </c>
    </row>
    <row r="49" spans="2:8" s="23" customFormat="1" x14ac:dyDescent="0.2">
      <c r="B49" s="441"/>
      <c r="C49" s="431" t="s">
        <v>121</v>
      </c>
      <c r="D49" s="462">
        <v>49.904710000000009</v>
      </c>
      <c r="E49" s="460">
        <v>279.66856000000007</v>
      </c>
      <c r="F49" s="439">
        <v>3.0408766206051205</v>
      </c>
      <c r="G49" s="458">
        <f t="shared" si="9"/>
        <v>8.5043758562230067</v>
      </c>
      <c r="H49" s="459">
        <f t="shared" si="10"/>
        <v>329.57327000000009</v>
      </c>
    </row>
    <row r="50" spans="2:8" s="23" customFormat="1" x14ac:dyDescent="0.2">
      <c r="B50" s="441"/>
      <c r="C50" s="431" t="s">
        <v>122</v>
      </c>
      <c r="D50" s="462">
        <v>48.82593</v>
      </c>
      <c r="E50" s="460">
        <v>227.40845999999996</v>
      </c>
      <c r="F50" s="439">
        <v>2.7740885658763821</v>
      </c>
      <c r="G50" s="458">
        <f t="shared" si="9"/>
        <v>6.3085120866955648</v>
      </c>
      <c r="H50" s="459">
        <f t="shared" si="10"/>
        <v>276.23438999999996</v>
      </c>
    </row>
    <row r="51" spans="2:8" s="23" customFormat="1" x14ac:dyDescent="0.2">
      <c r="B51" s="441"/>
      <c r="C51" s="431" t="s">
        <v>123</v>
      </c>
      <c r="D51" s="462">
        <v>21.892759999999999</v>
      </c>
      <c r="E51" s="460">
        <v>134.90960999999999</v>
      </c>
      <c r="F51" s="439">
        <v>3.8430204411535529</v>
      </c>
      <c r="G51" s="458">
        <f t="shared" si="9"/>
        <v>5.1846038893805373</v>
      </c>
      <c r="H51" s="459">
        <f t="shared" si="10"/>
        <v>156.80237</v>
      </c>
    </row>
    <row r="52" spans="2:8" s="23" customFormat="1" x14ac:dyDescent="0.2">
      <c r="B52" s="441"/>
      <c r="C52" s="431" t="s">
        <v>124</v>
      </c>
      <c r="D52" s="462">
        <v>7.9931399999999995</v>
      </c>
      <c r="E52" s="460">
        <v>93.46463</v>
      </c>
      <c r="F52" s="439">
        <v>4.6810837209700225</v>
      </c>
      <c r="G52" s="458">
        <f t="shared" si="9"/>
        <v>4.3751575797948643</v>
      </c>
      <c r="H52" s="459">
        <f t="shared" si="10"/>
        <v>101.45777</v>
      </c>
    </row>
    <row r="53" spans="2:8" s="23" customFormat="1" ht="13.5" thickBot="1" x14ac:dyDescent="0.25">
      <c r="B53" s="297"/>
      <c r="C53" s="437" t="s">
        <v>125</v>
      </c>
      <c r="D53" s="455">
        <v>11.182980000000001</v>
      </c>
      <c r="E53" s="455">
        <v>50.867080000000001</v>
      </c>
      <c r="F53" s="438">
        <v>6.6678367663675324</v>
      </c>
      <c r="G53" s="456">
        <f t="shared" si="9"/>
        <v>3.3917338622175857</v>
      </c>
      <c r="H53" s="457">
        <f t="shared" si="10"/>
        <v>62.050060000000002</v>
      </c>
    </row>
    <row r="54" spans="2:8" s="23" customFormat="1" x14ac:dyDescent="0.2">
      <c r="C54" s="24"/>
      <c r="D54" s="276"/>
      <c r="E54" s="276"/>
      <c r="F54" s="24"/>
      <c r="G54" s="24"/>
    </row>
    <row r="55" spans="2:8" s="23" customFormat="1" x14ac:dyDescent="0.2"/>
    <row r="56" spans="2:8" s="23" customFormat="1" x14ac:dyDescent="0.2">
      <c r="B56" s="992" t="s">
        <v>627</v>
      </c>
      <c r="C56" s="993"/>
      <c r="D56" s="993"/>
      <c r="E56" s="993"/>
      <c r="F56" s="993"/>
      <c r="G56" s="993"/>
      <c r="H56" s="993"/>
    </row>
    <row r="57" spans="2:8" s="23" customFormat="1" ht="25.5" x14ac:dyDescent="0.2">
      <c r="B57" s="286"/>
      <c r="C57" s="539" t="s">
        <v>710</v>
      </c>
      <c r="D57" s="445" t="s">
        <v>78</v>
      </c>
      <c r="E57" s="445" t="s">
        <v>309</v>
      </c>
      <c r="F57" s="445" t="s">
        <v>82</v>
      </c>
      <c r="G57" s="445" t="s">
        <v>310</v>
      </c>
      <c r="H57" s="445" t="s">
        <v>486</v>
      </c>
    </row>
    <row r="58" spans="2:8" s="23" customFormat="1" x14ac:dyDescent="0.2">
      <c r="B58" s="441" t="s">
        <v>92</v>
      </c>
      <c r="C58" s="431" t="s">
        <v>127</v>
      </c>
      <c r="D58" s="462">
        <v>19.814070000000001</v>
      </c>
      <c r="E58" s="460">
        <v>8.3955500000000001</v>
      </c>
      <c r="F58" s="439">
        <v>13.778220578923456</v>
      </c>
      <c r="G58" s="458">
        <f>E58*F58/100</f>
        <v>1.1567573978138084</v>
      </c>
      <c r="H58" s="459">
        <f t="shared" ref="H58:H86" si="11">SUM(D58,E58)</f>
        <v>28.209620000000001</v>
      </c>
    </row>
    <row r="59" spans="2:8" s="23" customFormat="1" x14ac:dyDescent="0.2">
      <c r="B59" s="441"/>
      <c r="C59" s="431" t="s">
        <v>128</v>
      </c>
      <c r="D59" s="462">
        <v>7.0026699999999993</v>
      </c>
      <c r="E59" s="460">
        <v>7.3199599999999991</v>
      </c>
      <c r="F59" s="439">
        <v>12.356674998001319</v>
      </c>
      <c r="G59" s="458">
        <f t="shared" ref="G59:G66" si="12">E59*F59/100</f>
        <v>0.90450366718369724</v>
      </c>
      <c r="H59" s="459">
        <f t="shared" si="11"/>
        <v>14.322629999999998</v>
      </c>
    </row>
    <row r="60" spans="2:8" s="23" customFormat="1" x14ac:dyDescent="0.2">
      <c r="B60" s="441"/>
      <c r="C60" s="431" t="s">
        <v>129</v>
      </c>
      <c r="D60" s="462">
        <v>23.031970000000001</v>
      </c>
      <c r="E60" s="460">
        <v>12.887109999999998</v>
      </c>
      <c r="F60" s="439">
        <v>9.3631261909528778</v>
      </c>
      <c r="G60" s="458">
        <f t="shared" si="12"/>
        <v>1.2066363716669073</v>
      </c>
      <c r="H60" s="459">
        <f t="shared" si="11"/>
        <v>35.919080000000001</v>
      </c>
    </row>
    <row r="61" spans="2:8" s="23" customFormat="1" x14ac:dyDescent="0.2">
      <c r="B61" s="441"/>
      <c r="C61" s="431" t="s">
        <v>130</v>
      </c>
      <c r="D61" s="462">
        <v>22.334919999999997</v>
      </c>
      <c r="E61" s="460">
        <v>20.87013</v>
      </c>
      <c r="F61" s="439">
        <v>7.0464560827987262</v>
      </c>
      <c r="G61" s="458">
        <f t="shared" si="12"/>
        <v>1.4706045448730019</v>
      </c>
      <c r="H61" s="459">
        <f t="shared" si="11"/>
        <v>43.20505</v>
      </c>
    </row>
    <row r="62" spans="2:8" s="23" customFormat="1" x14ac:dyDescent="0.2">
      <c r="B62" s="441"/>
      <c r="C62" s="431" t="s">
        <v>131</v>
      </c>
      <c r="D62" s="462">
        <v>23.36355</v>
      </c>
      <c r="E62" s="460">
        <v>50.029089999999997</v>
      </c>
      <c r="F62" s="439">
        <v>4.1841075173282229</v>
      </c>
      <c r="G62" s="458">
        <f t="shared" si="12"/>
        <v>2.0932709155409022</v>
      </c>
      <c r="H62" s="459">
        <f t="shared" si="11"/>
        <v>73.39264</v>
      </c>
    </row>
    <row r="63" spans="2:8" s="23" customFormat="1" x14ac:dyDescent="0.2">
      <c r="B63" s="441"/>
      <c r="C63" s="431" t="s">
        <v>132</v>
      </c>
      <c r="D63" s="462">
        <v>17.265070000000001</v>
      </c>
      <c r="E63" s="460">
        <v>45.473959999999991</v>
      </c>
      <c r="F63" s="439">
        <v>4.5729420570367143</v>
      </c>
      <c r="G63" s="458">
        <f t="shared" si="12"/>
        <v>2.0794978418400523</v>
      </c>
      <c r="H63" s="459">
        <f t="shared" si="11"/>
        <v>62.739029999999993</v>
      </c>
    </row>
    <row r="64" spans="2:8" s="23" customFormat="1" x14ac:dyDescent="0.2">
      <c r="B64" s="441"/>
      <c r="C64" s="431" t="s">
        <v>133</v>
      </c>
      <c r="D64" s="462">
        <v>13.36876</v>
      </c>
      <c r="E64" s="460">
        <v>26.997049999999998</v>
      </c>
      <c r="F64" s="439">
        <v>5.8313147580002926</v>
      </c>
      <c r="G64" s="458">
        <f t="shared" si="12"/>
        <v>1.5742829608747178</v>
      </c>
      <c r="H64" s="459">
        <f t="shared" si="11"/>
        <v>40.365809999999996</v>
      </c>
    </row>
    <row r="65" spans="2:8" s="23" customFormat="1" x14ac:dyDescent="0.2">
      <c r="B65" s="441"/>
      <c r="C65" s="431" t="s">
        <v>134</v>
      </c>
      <c r="D65" s="462">
        <v>1.1394900000000001</v>
      </c>
      <c r="E65" s="460">
        <v>3.6102299999999996</v>
      </c>
      <c r="F65" s="439">
        <v>2.1011938033953174E-2</v>
      </c>
      <c r="G65" s="458">
        <f t="shared" si="12"/>
        <v>7.5857929048318753E-4</v>
      </c>
      <c r="H65" s="459">
        <f t="shared" si="11"/>
        <v>4.7497199999999999</v>
      </c>
    </row>
    <row r="66" spans="2:8" s="23" customFormat="1" x14ac:dyDescent="0.2">
      <c r="B66" s="441"/>
      <c r="C66" s="431" t="s">
        <v>135</v>
      </c>
      <c r="D66" s="462">
        <v>0.19205</v>
      </c>
      <c r="E66" s="460">
        <v>1.9712000000000001</v>
      </c>
      <c r="F66" s="439">
        <v>2.3800500629660864E-2</v>
      </c>
      <c r="G66" s="458">
        <f t="shared" si="12"/>
        <v>4.6915546841187495E-4</v>
      </c>
      <c r="H66" s="459">
        <f t="shared" si="11"/>
        <v>2.1632500000000001</v>
      </c>
    </row>
    <row r="67" spans="2:8" s="23" customFormat="1" x14ac:dyDescent="0.2">
      <c r="B67" s="441"/>
      <c r="C67" s="431"/>
      <c r="D67" s="462"/>
      <c r="E67" s="460"/>
      <c r="F67" s="439"/>
      <c r="G67" s="460"/>
      <c r="H67" s="461"/>
    </row>
    <row r="68" spans="2:8" s="23" customFormat="1" x14ac:dyDescent="0.2">
      <c r="B68" s="441" t="s">
        <v>105</v>
      </c>
      <c r="C68" s="431" t="s">
        <v>127</v>
      </c>
      <c r="D68" s="462">
        <v>5.8585799999999999</v>
      </c>
      <c r="E68" s="460">
        <v>123.81151</v>
      </c>
      <c r="F68" s="439">
        <v>4.0557423274664943</v>
      </c>
      <c r="G68" s="458">
        <f t="shared" ref="G68:G76" si="13">E68*F68/100</f>
        <v>5.0214758173454115</v>
      </c>
      <c r="H68" s="459">
        <f t="shared" si="11"/>
        <v>129.67008999999999</v>
      </c>
    </row>
    <row r="69" spans="2:8" s="23" customFormat="1" x14ac:dyDescent="0.2">
      <c r="B69" s="441"/>
      <c r="C69" s="431" t="s">
        <v>128</v>
      </c>
      <c r="D69" s="462">
        <v>6.1244400000000008</v>
      </c>
      <c r="E69" s="460">
        <v>153.90060999999997</v>
      </c>
      <c r="F69" s="439">
        <v>2.385000509884712</v>
      </c>
      <c r="G69" s="458">
        <f t="shared" si="13"/>
        <v>3.6705303332156816</v>
      </c>
      <c r="H69" s="459">
        <f t="shared" si="11"/>
        <v>160.02504999999996</v>
      </c>
    </row>
    <row r="70" spans="2:8" s="23" customFormat="1" x14ac:dyDescent="0.2">
      <c r="B70" s="441"/>
      <c r="C70" s="431" t="s">
        <v>129</v>
      </c>
      <c r="D70" s="462">
        <v>6.2355800000000006</v>
      </c>
      <c r="E70" s="460">
        <v>118.71392999999999</v>
      </c>
      <c r="F70" s="439">
        <v>2.8005025397082739</v>
      </c>
      <c r="G70" s="458">
        <f t="shared" si="13"/>
        <v>3.3245866246375022</v>
      </c>
      <c r="H70" s="459">
        <f t="shared" si="11"/>
        <v>124.94950999999999</v>
      </c>
    </row>
    <row r="71" spans="2:8" s="23" customFormat="1" x14ac:dyDescent="0.2">
      <c r="B71" s="441"/>
      <c r="C71" s="431" t="s">
        <v>130</v>
      </c>
      <c r="D71" s="462">
        <v>6.8958499999999994</v>
      </c>
      <c r="E71" s="460">
        <v>84.814849999999993</v>
      </c>
      <c r="F71" s="439">
        <v>3.1716451498441538</v>
      </c>
      <c r="G71" s="458">
        <f t="shared" si="13"/>
        <v>2.6900260763725941</v>
      </c>
      <c r="H71" s="459">
        <f t="shared" si="11"/>
        <v>91.710699999999989</v>
      </c>
    </row>
    <row r="72" spans="2:8" s="23" customFormat="1" x14ac:dyDescent="0.2">
      <c r="B72" s="441"/>
      <c r="C72" s="431" t="s">
        <v>131</v>
      </c>
      <c r="D72" s="462">
        <v>15.367700000000001</v>
      </c>
      <c r="E72" s="460">
        <v>122.74942999999999</v>
      </c>
      <c r="F72" s="439">
        <v>2.7138729112387798</v>
      </c>
      <c r="G72" s="458">
        <f t="shared" si="13"/>
        <v>3.3312635294700077</v>
      </c>
      <c r="H72" s="459">
        <f t="shared" si="11"/>
        <v>138.11713</v>
      </c>
    </row>
    <row r="73" spans="2:8" s="23" customFormat="1" x14ac:dyDescent="0.2">
      <c r="B73" s="441"/>
      <c r="C73" s="431" t="s">
        <v>132</v>
      </c>
      <c r="D73" s="462">
        <v>8.3948199999999993</v>
      </c>
      <c r="E73" s="460">
        <v>80.58108</v>
      </c>
      <c r="F73" s="439">
        <v>3.6156339511517075</v>
      </c>
      <c r="G73" s="458">
        <f t="shared" si="13"/>
        <v>2.9135168866847181</v>
      </c>
      <c r="H73" s="459">
        <f t="shared" si="11"/>
        <v>88.975899999999996</v>
      </c>
    </row>
    <row r="74" spans="2:8" s="23" customFormat="1" x14ac:dyDescent="0.2">
      <c r="B74" s="441"/>
      <c r="C74" s="431" t="s">
        <v>133</v>
      </c>
      <c r="D74" s="462">
        <v>3.9185799999999995</v>
      </c>
      <c r="E74" s="460">
        <v>95.762619999999998</v>
      </c>
      <c r="F74" s="439">
        <v>3.3270068510259367</v>
      </c>
      <c r="G74" s="458">
        <f t="shared" si="13"/>
        <v>3.1860289281219338</v>
      </c>
      <c r="H74" s="459">
        <f t="shared" si="11"/>
        <v>99.681200000000004</v>
      </c>
    </row>
    <row r="75" spans="2:8" s="23" customFormat="1" x14ac:dyDescent="0.2">
      <c r="B75" s="441"/>
      <c r="C75" s="431" t="s">
        <v>134</v>
      </c>
      <c r="D75" s="462">
        <v>0.68094999999999994</v>
      </c>
      <c r="E75" s="460">
        <v>36.381550000000004</v>
      </c>
      <c r="F75" s="439">
        <v>5.8234059991383953</v>
      </c>
      <c r="G75" s="458">
        <f t="shared" si="13"/>
        <v>2.118645365279535</v>
      </c>
      <c r="H75" s="459">
        <f t="shared" si="11"/>
        <v>37.062500000000007</v>
      </c>
    </row>
    <row r="76" spans="2:8" s="23" customFormat="1" x14ac:dyDescent="0.2">
      <c r="B76" s="441"/>
      <c r="C76" s="431" t="s">
        <v>135</v>
      </c>
      <c r="D76" s="462">
        <v>0.18443000000000001</v>
      </c>
      <c r="E76" s="460">
        <v>22.115099999999998</v>
      </c>
      <c r="F76" s="439">
        <v>8.649134479131023</v>
      </c>
      <c r="G76" s="458">
        <f t="shared" si="13"/>
        <v>1.9127647391943046</v>
      </c>
      <c r="H76" s="459">
        <f t="shared" si="11"/>
        <v>22.299529999999997</v>
      </c>
    </row>
    <row r="77" spans="2:8" s="23" customFormat="1" x14ac:dyDescent="0.2">
      <c r="B77" s="441"/>
      <c r="C77" s="431"/>
      <c r="D77" s="462"/>
      <c r="E77" s="460"/>
      <c r="F77" s="439"/>
      <c r="G77" s="460"/>
      <c r="H77" s="461"/>
    </row>
    <row r="78" spans="2:8" s="23" customFormat="1" x14ac:dyDescent="0.2">
      <c r="B78" s="441" t="s">
        <v>106</v>
      </c>
      <c r="C78" s="431" t="s">
        <v>127</v>
      </c>
      <c r="D78" s="462">
        <v>25.672659999999997</v>
      </c>
      <c r="E78" s="460">
        <v>132.24871999999999</v>
      </c>
      <c r="F78" s="439">
        <v>3.881074343774523</v>
      </c>
      <c r="G78" s="458">
        <f t="shared" ref="G78:G86" si="14">E78*F78/100</f>
        <v>5.1326711418902065</v>
      </c>
      <c r="H78" s="459">
        <f t="shared" si="11"/>
        <v>157.92138</v>
      </c>
    </row>
    <row r="79" spans="2:8" s="23" customFormat="1" x14ac:dyDescent="0.2">
      <c r="B79" s="441"/>
      <c r="C79" s="431" t="s">
        <v>128</v>
      </c>
      <c r="D79" s="462">
        <v>13.1271</v>
      </c>
      <c r="E79" s="460">
        <v>161.34562</v>
      </c>
      <c r="F79" s="439">
        <v>2.3498445276132935</v>
      </c>
      <c r="G79" s="458">
        <f t="shared" si="14"/>
        <v>3.7913712221137392</v>
      </c>
      <c r="H79" s="459">
        <f t="shared" si="11"/>
        <v>174.47272000000001</v>
      </c>
    </row>
    <row r="80" spans="2:8" s="23" customFormat="1" x14ac:dyDescent="0.2">
      <c r="B80" s="441"/>
      <c r="C80" s="431" t="s">
        <v>129</v>
      </c>
      <c r="D80" s="462">
        <v>29.267570000000003</v>
      </c>
      <c r="E80" s="460">
        <v>131.83850000000001</v>
      </c>
      <c r="F80" s="439">
        <v>2.678899482141313</v>
      </c>
      <c r="G80" s="458">
        <f t="shared" si="14"/>
        <v>3.5318208937628754</v>
      </c>
      <c r="H80" s="459">
        <f t="shared" si="11"/>
        <v>161.10607000000002</v>
      </c>
    </row>
    <row r="81" spans="2:8" s="23" customFormat="1" x14ac:dyDescent="0.2">
      <c r="B81" s="441"/>
      <c r="C81" s="431" t="s">
        <v>130</v>
      </c>
      <c r="D81" s="462">
        <v>29.230760000000004</v>
      </c>
      <c r="E81" s="460">
        <v>105.90535000000001</v>
      </c>
      <c r="F81" s="439">
        <v>2.8952676092746765</v>
      </c>
      <c r="G81" s="458">
        <f t="shared" si="14"/>
        <v>3.0662432950389791</v>
      </c>
      <c r="H81" s="459">
        <f t="shared" si="11"/>
        <v>135.13611000000003</v>
      </c>
    </row>
    <row r="82" spans="2:8" s="23" customFormat="1" x14ac:dyDescent="0.2">
      <c r="B82" s="441"/>
      <c r="C82" s="431" t="s">
        <v>131</v>
      </c>
      <c r="D82" s="462">
        <v>38.73124</v>
      </c>
      <c r="E82" s="460">
        <v>172.49074999999999</v>
      </c>
      <c r="F82" s="439">
        <v>2.2485386085574324</v>
      </c>
      <c r="G82" s="458">
        <f t="shared" si="14"/>
        <v>3.8785211099402788</v>
      </c>
      <c r="H82" s="459">
        <f t="shared" si="11"/>
        <v>211.22199000000001</v>
      </c>
    </row>
    <row r="83" spans="2:8" s="23" customFormat="1" x14ac:dyDescent="0.2">
      <c r="B83" s="441"/>
      <c r="C83" s="431" t="s">
        <v>132</v>
      </c>
      <c r="D83" s="462">
        <v>25.659890000000001</v>
      </c>
      <c r="E83" s="460">
        <v>125.96865</v>
      </c>
      <c r="F83" s="439">
        <v>2.8135474532629257</v>
      </c>
      <c r="G83" s="458">
        <f t="shared" si="14"/>
        <v>3.5441877439846881</v>
      </c>
      <c r="H83" s="459">
        <f t="shared" si="11"/>
        <v>151.62853999999999</v>
      </c>
    </row>
    <row r="84" spans="2:8" s="23" customFormat="1" x14ac:dyDescent="0.2">
      <c r="B84" s="441"/>
      <c r="C84" s="431" t="s">
        <v>133</v>
      </c>
      <c r="D84" s="462">
        <v>17.287309999999998</v>
      </c>
      <c r="E84" s="460">
        <v>122.6575</v>
      </c>
      <c r="F84" s="439">
        <v>2.8936769087586738</v>
      </c>
      <c r="G84" s="458">
        <f t="shared" si="14"/>
        <v>3.5493117543606703</v>
      </c>
      <c r="H84" s="459">
        <f t="shared" si="11"/>
        <v>139.94480999999999</v>
      </c>
    </row>
    <row r="85" spans="2:8" s="23" customFormat="1" x14ac:dyDescent="0.2">
      <c r="B85" s="441"/>
      <c r="C85" s="431" t="s">
        <v>134</v>
      </c>
      <c r="D85" s="462">
        <v>1.82043</v>
      </c>
      <c r="E85" s="460">
        <v>39.798159999999996</v>
      </c>
      <c r="F85" s="439">
        <v>5.6685176597516573</v>
      </c>
      <c r="G85" s="458">
        <f t="shared" si="14"/>
        <v>2.25596572785622</v>
      </c>
      <c r="H85" s="459">
        <f t="shared" si="11"/>
        <v>41.618589999999998</v>
      </c>
    </row>
    <row r="86" spans="2:8" ht="13.5" thickBot="1" x14ac:dyDescent="0.25">
      <c r="B86" s="297"/>
      <c r="C86" s="437" t="s">
        <v>135</v>
      </c>
      <c r="D86" s="455">
        <v>0.37648000000000004</v>
      </c>
      <c r="E86" s="455">
        <v>24.118879999999997</v>
      </c>
      <c r="F86" s="438">
        <v>8.166532942384725</v>
      </c>
      <c r="G86" s="456">
        <f t="shared" si="14"/>
        <v>1.9696762805342407</v>
      </c>
      <c r="H86" s="457">
        <f t="shared" si="11"/>
        <v>24.495359999999998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B89" s="992" t="s">
        <v>628</v>
      </c>
      <c r="C89" s="993"/>
      <c r="D89" s="993"/>
      <c r="E89" s="993"/>
      <c r="F89" s="993"/>
      <c r="G89" s="993"/>
      <c r="H89" s="993"/>
    </row>
    <row r="90" spans="2:8" x14ac:dyDescent="0.2">
      <c r="B90" s="286"/>
      <c r="C90" s="286"/>
      <c r="D90" s="445" t="s">
        <v>78</v>
      </c>
      <c r="E90" s="445" t="s">
        <v>309</v>
      </c>
      <c r="F90" s="445" t="s">
        <v>82</v>
      </c>
      <c r="G90" s="445" t="s">
        <v>310</v>
      </c>
      <c r="H90" s="445" t="s">
        <v>486</v>
      </c>
    </row>
    <row r="91" spans="2:8" ht="13.5" thickBot="1" x14ac:dyDescent="0.25">
      <c r="B91" s="297"/>
      <c r="C91" s="437" t="s">
        <v>629</v>
      </c>
      <c r="D91" s="455">
        <v>8.4943399999999993</v>
      </c>
      <c r="E91" s="455">
        <v>9.8433299999999999</v>
      </c>
      <c r="F91" s="438">
        <v>12.213512707120753</v>
      </c>
      <c r="G91" s="456">
        <f>E91*F91/100</f>
        <v>1.2022163603538292</v>
      </c>
      <c r="H91" s="457">
        <f>SUM(D91,E91)</f>
        <v>18.337669999999999</v>
      </c>
    </row>
    <row r="94" spans="2:8" x14ac:dyDescent="0.2">
      <c r="B94" s="992" t="s">
        <v>707</v>
      </c>
      <c r="C94" s="993"/>
      <c r="D94" s="993"/>
      <c r="E94" s="993"/>
      <c r="F94" s="993"/>
      <c r="G94" s="993"/>
      <c r="H94" s="993"/>
    </row>
    <row r="95" spans="2:8" x14ac:dyDescent="0.2">
      <c r="B95" s="286"/>
      <c r="C95" s="286"/>
      <c r="D95" s="445"/>
      <c r="E95" s="445"/>
      <c r="F95" s="445"/>
      <c r="G95" s="445"/>
      <c r="H95" s="445" t="s">
        <v>486</v>
      </c>
    </row>
    <row r="96" spans="2:8" x14ac:dyDescent="0.2">
      <c r="B96" s="441"/>
      <c r="C96" s="431" t="s">
        <v>19</v>
      </c>
      <c r="D96" s="526"/>
      <c r="E96" s="458"/>
      <c r="F96" s="527"/>
      <c r="G96" s="458"/>
      <c r="H96" s="928">
        <f>('Eng Table 4'!C8+'Eng Table 4'!C12)/1000</f>
        <v>809.12319503218373</v>
      </c>
    </row>
    <row r="97" spans="2:8" ht="13.5" thickBot="1" x14ac:dyDescent="0.25">
      <c r="B97" s="297"/>
      <c r="C97" s="437" t="s">
        <v>20</v>
      </c>
      <c r="D97" s="528"/>
      <c r="E97" s="528"/>
      <c r="F97" s="529"/>
      <c r="G97" s="456"/>
      <c r="H97" s="525">
        <f>('Eng Table 4'!C9+'Eng Table 4'!C13)/1000</f>
        <v>344.44808717062631</v>
      </c>
    </row>
  </sheetData>
  <mergeCells count="7">
    <mergeCell ref="B89:H89"/>
    <mergeCell ref="B94:H94"/>
    <mergeCell ref="J3:J4"/>
    <mergeCell ref="K3:K4"/>
    <mergeCell ref="B3:H3"/>
    <mergeCell ref="B29:H29"/>
    <mergeCell ref="B56:H5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762</v>
      </c>
      <c r="D5" s="654" t="s">
        <v>762</v>
      </c>
      <c r="E5" s="655" t="s">
        <v>82</v>
      </c>
      <c r="F5" s="654" t="s">
        <v>762</v>
      </c>
      <c r="G5" s="654" t="s">
        <v>762</v>
      </c>
      <c r="H5" s="654" t="s">
        <v>762</v>
      </c>
      <c r="I5" s="655" t="s">
        <v>82</v>
      </c>
      <c r="J5" s="654" t="s">
        <v>762</v>
      </c>
      <c r="K5" s="654" t="s">
        <v>762</v>
      </c>
      <c r="L5" s="654" t="s">
        <v>762</v>
      </c>
      <c r="M5" s="655" t="s">
        <v>82</v>
      </c>
      <c r="N5" s="654" t="s">
        <v>762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">
        <v>721</v>
      </c>
      <c r="C6" s="916">
        <v>12689.88</v>
      </c>
      <c r="D6" s="917">
        <v>91536.558999999994</v>
      </c>
      <c r="E6" s="662">
        <v>1.2306123466278243</v>
      </c>
      <c r="F6" s="699">
        <v>1336.0809999999999</v>
      </c>
      <c r="G6" s="916">
        <v>8647.2039999999997</v>
      </c>
      <c r="H6" s="917">
        <v>19182.116999999998</v>
      </c>
      <c r="I6" s="662">
        <v>2.3163705555550931</v>
      </c>
      <c r="J6" s="699">
        <v>342.23200000000003</v>
      </c>
      <c r="K6" s="922">
        <v>4042.6770000000001</v>
      </c>
      <c r="L6" s="917">
        <v>72377.625</v>
      </c>
      <c r="M6" s="662">
        <v>1.4751991132146667</v>
      </c>
      <c r="N6" s="699">
        <v>186.92099999999999</v>
      </c>
      <c r="P6" s="665">
        <v>1473.15</v>
      </c>
      <c r="Q6" s="472">
        <v>962.83799999999997</v>
      </c>
      <c r="R6" s="666">
        <f>L6*M6/100</f>
        <v>1067.7140821658368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918">
        <v>1084.1869999999999</v>
      </c>
      <c r="D7" s="919">
        <v>5131.335</v>
      </c>
      <c r="E7" s="671">
        <v>4.2699999999999996</v>
      </c>
      <c r="F7" s="699">
        <f>C7+D7</f>
        <v>6215.5219999999999</v>
      </c>
      <c r="G7" s="918">
        <v>920.92899999999997</v>
      </c>
      <c r="H7" s="919">
        <v>1820.877</v>
      </c>
      <c r="I7" s="671">
        <v>6.86</v>
      </c>
      <c r="J7" s="699">
        <f>G7+H7</f>
        <v>2741.806</v>
      </c>
      <c r="K7" s="923">
        <v>163.25899999999999</v>
      </c>
      <c r="L7" s="919">
        <v>3306.3009999999999</v>
      </c>
      <c r="M7" s="671">
        <v>5.88</v>
      </c>
      <c r="N7" s="699">
        <f>K7+L7</f>
        <v>3469.56</v>
      </c>
      <c r="P7" s="665">
        <f>D7*E7/100</f>
        <v>219.10800449999999</v>
      </c>
      <c r="Q7" s="472">
        <f t="shared" ref="Q7:Q20" si="0">H7*I7/100</f>
        <v>124.9121622</v>
      </c>
      <c r="R7" s="666">
        <f t="shared" ref="R7:R20" si="1">L7*M7/100</f>
        <v>194.4104988</v>
      </c>
      <c r="U7" s="668" t="str">
        <f>INDEX($B$7:$N$20,MATCH(1,$F$47:$F$60,FALSE),1)</f>
        <v>West Midlands</v>
      </c>
      <c r="V7" s="697">
        <f>INDEX($B$7:$N$20,MATCH(1,$F$47:$F$60,FALSE),2)</f>
        <v>804.67</v>
      </c>
      <c r="W7" s="698">
        <f>INDEX($B$7:$N$20,MATCH(1,$F$47:$F$60,FALSE),3)</f>
        <v>11334.34</v>
      </c>
      <c r="X7" s="675">
        <f>INDEX($B$7:$N$20,MATCH(1,$F$47:$F$60,FALSE),4)</f>
        <v>4.21</v>
      </c>
      <c r="Y7" s="699">
        <f>INDEX($B$7:$N$20,MATCH(1,$F$47:$F$60,FALSE),5)</f>
        <v>12139.01</v>
      </c>
      <c r="Z7" s="697">
        <f>INDEX($B$7:$N$20,MATCH(1,$F$47:$F$60,FALSE),6)</f>
        <v>961.72400000000005</v>
      </c>
      <c r="AA7" s="698">
        <f>INDEX($B$7:$N$20,MATCH(1,$F$47:$F$60,FALSE),7)</f>
        <v>2476.2080000000001</v>
      </c>
      <c r="AB7" s="675">
        <f>INDEX($B$7:$N$20,MATCH(1,$F$47:$F$60,FALSE),8)</f>
        <v>8.6999999999999993</v>
      </c>
      <c r="AC7" s="699">
        <f>INDEX($B$7:$N$20,MATCH(1,$F$47:$F$60,FALSE),9)</f>
        <v>3437.9320000000002</v>
      </c>
      <c r="AD7" s="925">
        <f>INDEX($B$7:$N$20,MATCH(1,$F$47:$F$60,FALSE),10)</f>
        <v>511.42599999999999</v>
      </c>
      <c r="AE7" s="698">
        <f>INDEX($B$7:$N$20,MATCH(1,$F$47:$F$60,FALSE),11)</f>
        <v>8888.3379999999997</v>
      </c>
      <c r="AF7" s="675">
        <f>INDEX($B$7:$N$20,MATCH(1,$F$47:$F$60,FALSE),12)</f>
        <v>4.88</v>
      </c>
      <c r="AG7" s="699">
        <f>INDEX($B$7:$N$20,MATCH(1,$F$47:$F$60,FALSE),13)</f>
        <v>9399.7639999999992</v>
      </c>
      <c r="AI7" s="665">
        <f>W7*X7/100</f>
        <v>477.17571400000003</v>
      </c>
      <c r="AJ7" s="472">
        <f t="shared" ref="AJ7:AJ20" si="2">AA7*AB7/100</f>
        <v>215.43009599999996</v>
      </c>
      <c r="AK7" s="666">
        <f t="shared" ref="AK7:AK20" si="3">AE7*AF7/100</f>
        <v>433.75089439999994</v>
      </c>
    </row>
    <row r="8" spans="2:37" ht="15" customHeight="1" x14ac:dyDescent="0.2">
      <c r="B8" s="668" t="s">
        <v>307</v>
      </c>
      <c r="C8" s="918">
        <v>716.51099999999997</v>
      </c>
      <c r="D8" s="919">
        <v>9417.15</v>
      </c>
      <c r="E8" s="671">
        <v>4.3899999999999997</v>
      </c>
      <c r="F8" s="699">
        <f t="shared" ref="F8:F20" si="4">C8+D8</f>
        <v>10133.661</v>
      </c>
      <c r="G8" s="918">
        <v>580.98</v>
      </c>
      <c r="H8" s="919">
        <v>1891.3689999999999</v>
      </c>
      <c r="I8" s="671">
        <v>6.76</v>
      </c>
      <c r="J8" s="699">
        <f t="shared" ref="J8:J20" si="5">G8+H8</f>
        <v>2472.3490000000002</v>
      </c>
      <c r="K8" s="923">
        <v>135.53</v>
      </c>
      <c r="L8" s="919">
        <v>7517.1329999999998</v>
      </c>
      <c r="M8" s="671">
        <v>5.27</v>
      </c>
      <c r="N8" s="699">
        <f t="shared" ref="N8:N20" si="6">K8+L8</f>
        <v>7652.6629999999996</v>
      </c>
      <c r="P8" s="665">
        <f t="shared" ref="P8:P20" si="7">D8*E8/100</f>
        <v>413.41288499999996</v>
      </c>
      <c r="Q8" s="472">
        <f t="shared" si="0"/>
        <v>127.85654439999999</v>
      </c>
      <c r="R8" s="666">
        <f t="shared" si="1"/>
        <v>396.15290909999999</v>
      </c>
      <c r="U8" s="668" t="str">
        <f>INDEX($B$7:$N$20,MATCH(2,$F$47:$F$60,FALSE),1)</f>
        <v>Solent and South Downs</v>
      </c>
      <c r="V8" s="697">
        <f>INDEX($B$7:$N$20,MATCH(2,$F$47:$F$60,FALSE),2)</f>
        <v>2302.98</v>
      </c>
      <c r="W8" s="698">
        <f>INDEX($B$7:$N$20,MATCH(2,$F$47:$F$60,FALSE),3)</f>
        <v>9250.0349999999999</v>
      </c>
      <c r="X8" s="675">
        <f>INDEX($B$7:$N$20,MATCH(2,$F$47:$F$60,FALSE),4)</f>
        <v>2.95</v>
      </c>
      <c r="Y8" s="699">
        <f>INDEX($B$7:$N$20,MATCH(2,$F$47:$F$60,FALSE),5)</f>
        <v>11553.014999999999</v>
      </c>
      <c r="Z8" s="697">
        <f>INDEX($B$7:$N$20,MATCH(2,$F$47:$F$60,FALSE),6)</f>
        <v>687.40499999999997</v>
      </c>
      <c r="AA8" s="698">
        <f>INDEX($B$7:$N$20,MATCH(2,$F$47:$F$60,FALSE),7)</f>
        <v>1442.4970000000001</v>
      </c>
      <c r="AB8" s="675">
        <f>INDEX($B$7:$N$20,MATCH(2,$F$47:$F$60,FALSE),8)</f>
        <v>6.44</v>
      </c>
      <c r="AC8" s="699">
        <f>INDEX($B$7:$N$20,MATCH(2,$F$47:$F$60,FALSE),9)</f>
        <v>2129.902</v>
      </c>
      <c r="AD8" s="925">
        <f>INDEX($B$7:$N$20,MATCH(2,$F$47:$F$60,FALSE),10)</f>
        <v>1615.575</v>
      </c>
      <c r="AE8" s="698">
        <f>INDEX($B$7:$N$20,MATCH(2,$F$47:$F$60,FALSE),11)</f>
        <v>7801.0069999999996</v>
      </c>
      <c r="AF8" s="675">
        <f>INDEX($B$7:$N$20,MATCH(2,$F$47:$F$60,FALSE),12)</f>
        <v>3.39</v>
      </c>
      <c r="AG8" s="699">
        <f>INDEX($B$7:$N$20,MATCH(2,$F$47:$F$60,FALSE),13)</f>
        <v>9416.5820000000003</v>
      </c>
      <c r="AI8" s="665">
        <f t="shared" ref="AI8:AI20" si="8">W8*X8/100</f>
        <v>272.87603250000001</v>
      </c>
      <c r="AJ8" s="472">
        <f t="shared" si="2"/>
        <v>92.896806800000007</v>
      </c>
      <c r="AK8" s="666">
        <f t="shared" si="3"/>
        <v>264.45413730000001</v>
      </c>
    </row>
    <row r="9" spans="2:37" ht="15" customHeight="1" x14ac:dyDescent="0.2">
      <c r="B9" s="668" t="s">
        <v>287</v>
      </c>
      <c r="C9" s="918">
        <v>1336.0809999999999</v>
      </c>
      <c r="D9" s="919">
        <v>7854.8249999999998</v>
      </c>
      <c r="E9" s="671">
        <v>3.98</v>
      </c>
      <c r="F9" s="699">
        <f t="shared" si="4"/>
        <v>9190.905999999999</v>
      </c>
      <c r="G9" s="918">
        <v>1086.8710000000001</v>
      </c>
      <c r="H9" s="919">
        <v>1284.0039999999999</v>
      </c>
      <c r="I9" s="671">
        <v>7.75</v>
      </c>
      <c r="J9" s="699">
        <f t="shared" si="5"/>
        <v>2370.875</v>
      </c>
      <c r="K9" s="923">
        <v>249.21</v>
      </c>
      <c r="L9" s="919">
        <v>6568.4470000000001</v>
      </c>
      <c r="M9" s="671">
        <v>4.7300000000000004</v>
      </c>
      <c r="N9" s="699">
        <f t="shared" si="6"/>
        <v>6817.6570000000002</v>
      </c>
      <c r="P9" s="665">
        <f t="shared" si="7"/>
        <v>312.62203499999998</v>
      </c>
      <c r="Q9" s="472">
        <f t="shared" si="0"/>
        <v>99.51030999999999</v>
      </c>
      <c r="R9" s="666">
        <f t="shared" si="1"/>
        <v>310.68754310000003</v>
      </c>
      <c r="U9" s="668" t="str">
        <f>INDEX($B$7:$N$20,MATCH(3,$F$47:$F$60,FALSE),1)</f>
        <v>Devon Cornwall and the Isles of Scilly</v>
      </c>
      <c r="V9" s="697">
        <f>INDEX($B$7:$N$20,MATCH(3,$F$47:$F$60,FALSE),2)</f>
        <v>716.51099999999997</v>
      </c>
      <c r="W9" s="698">
        <f>INDEX($B$7:$N$20,MATCH(3,$F$47:$F$60,FALSE),3)</f>
        <v>9417.15</v>
      </c>
      <c r="X9" s="675">
        <f>INDEX($B$7:$N$20,MATCH(3,$F$47:$F$60,FALSE),4)</f>
        <v>4.3899999999999997</v>
      </c>
      <c r="Y9" s="699">
        <f>INDEX($B$7:$N$20,MATCH(3,$F$47:$F$60,FALSE),5)</f>
        <v>10133.661</v>
      </c>
      <c r="Z9" s="697">
        <f>INDEX($B$7:$N$20,MATCH(3,$F$47:$F$60,FALSE),6)</f>
        <v>580.98</v>
      </c>
      <c r="AA9" s="698">
        <f>INDEX($B$7:$N$20,MATCH(3,$F$47:$F$60,FALSE),7)</f>
        <v>1891.3689999999999</v>
      </c>
      <c r="AB9" s="675">
        <f>INDEX($B$7:$N$20,MATCH(3,$F$47:$F$60,FALSE),8)</f>
        <v>6.76</v>
      </c>
      <c r="AC9" s="699">
        <f>INDEX($B$7:$N$20,MATCH(3,$F$47:$F$60,FALSE),9)</f>
        <v>2472.3490000000002</v>
      </c>
      <c r="AD9" s="925">
        <f>INDEX($B$7:$N$20,MATCH(3,$F$47:$F$60,FALSE),10)</f>
        <v>135.53</v>
      </c>
      <c r="AE9" s="698">
        <f>INDEX($B$7:$N$20,MATCH(3,$F$47:$F$60,FALSE),11)</f>
        <v>7517.1329999999998</v>
      </c>
      <c r="AF9" s="675">
        <f>INDEX($B$7:$N$20,MATCH(3,$F$47:$F$60,FALSE),12)</f>
        <v>5.27</v>
      </c>
      <c r="AG9" s="699">
        <f>INDEX($B$7:$N$20,MATCH(3,$F$47:$F$60,FALSE),13)</f>
        <v>7652.6629999999996</v>
      </c>
      <c r="AI9" s="665">
        <f t="shared" si="8"/>
        <v>413.41288499999996</v>
      </c>
      <c r="AJ9" s="472">
        <f t="shared" si="2"/>
        <v>127.85654439999999</v>
      </c>
      <c r="AK9" s="666">
        <f t="shared" si="3"/>
        <v>396.15290909999999</v>
      </c>
    </row>
    <row r="10" spans="2:37" ht="15" customHeight="1" x14ac:dyDescent="0.2">
      <c r="B10" s="668" t="s">
        <v>288</v>
      </c>
      <c r="C10" s="918">
        <v>441.72</v>
      </c>
      <c r="D10" s="919">
        <v>3284.8690000000001</v>
      </c>
      <c r="E10" s="671">
        <v>6.66</v>
      </c>
      <c r="F10" s="699">
        <f t="shared" si="4"/>
        <v>3726.5889999999999</v>
      </c>
      <c r="G10" s="918">
        <v>340.25</v>
      </c>
      <c r="H10" s="919">
        <v>760.28899999999999</v>
      </c>
      <c r="I10" s="671">
        <v>12.99</v>
      </c>
      <c r="J10" s="699">
        <f t="shared" si="5"/>
        <v>1100.539</v>
      </c>
      <c r="K10" s="923">
        <v>101.471</v>
      </c>
      <c r="L10" s="919">
        <v>2524.58</v>
      </c>
      <c r="M10" s="671">
        <v>8.49</v>
      </c>
      <c r="N10" s="699">
        <f t="shared" si="6"/>
        <v>2626.0509999999999</v>
      </c>
      <c r="P10" s="665">
        <f t="shared" si="7"/>
        <v>218.77227540000001</v>
      </c>
      <c r="Q10" s="472">
        <f t="shared" si="0"/>
        <v>98.761541099999988</v>
      </c>
      <c r="R10" s="666">
        <f t="shared" si="1"/>
        <v>214.33684199999999</v>
      </c>
      <c r="U10" s="668" t="str">
        <f>INDEX($B$7:$N$20,MATCH(4,$F$47:$F$60,FALSE),1)</f>
        <v>Wessex</v>
      </c>
      <c r="V10" s="697">
        <f>INDEX($B$7:$N$20,MATCH(4,$F$47:$F$60,FALSE),2)</f>
        <v>1473.15</v>
      </c>
      <c r="W10" s="698">
        <f>INDEX($B$7:$N$20,MATCH(4,$F$47:$F$60,FALSE),3)</f>
        <v>8449.7440000000006</v>
      </c>
      <c r="X10" s="675">
        <f>INDEX($B$7:$N$20,MATCH(4,$F$47:$F$60,FALSE),4)</f>
        <v>3.07</v>
      </c>
      <c r="Y10" s="699">
        <f>INDEX($B$7:$N$20,MATCH(4,$F$47:$F$60,FALSE),5)</f>
        <v>9922.8940000000002</v>
      </c>
      <c r="Z10" s="697">
        <f>INDEX($B$7:$N$20,MATCH(4,$F$47:$F$60,FALSE),6)</f>
        <v>447.87099999999998</v>
      </c>
      <c r="AA10" s="698">
        <f>INDEX($B$7:$N$20,MATCH(4,$F$47:$F$60,FALSE),7)</f>
        <v>1566.8109999999999</v>
      </c>
      <c r="AB10" s="675">
        <f>INDEX($B$7:$N$20,MATCH(4,$F$47:$F$60,FALSE),8)</f>
        <v>7.04</v>
      </c>
      <c r="AC10" s="699">
        <f>INDEX($B$7:$N$20,MATCH(4,$F$47:$F$60,FALSE),9)</f>
        <v>2014.6819999999998</v>
      </c>
      <c r="AD10" s="925">
        <f>INDEX($B$7:$N$20,MATCH(4,$F$47:$F$60,FALSE),10)</f>
        <v>356.79899999999998</v>
      </c>
      <c r="AE10" s="698">
        <f>INDEX($B$7:$N$20,MATCH(4,$F$47:$F$60,FALSE),11)</f>
        <v>6892.7219999999998</v>
      </c>
      <c r="AF10" s="675">
        <f>INDEX($B$7:$N$20,MATCH(4,$F$47:$F$60,FALSE),12)</f>
        <v>3.59</v>
      </c>
      <c r="AG10" s="699">
        <f>INDEX($B$7:$N$20,MATCH(4,$F$47:$F$60,FALSE),13)</f>
        <v>7249.5209999999997</v>
      </c>
      <c r="AI10" s="665">
        <f t="shared" si="8"/>
        <v>259.40714080000004</v>
      </c>
      <c r="AJ10" s="472">
        <f t="shared" si="2"/>
        <v>110.30349440000001</v>
      </c>
      <c r="AK10" s="666">
        <f t="shared" si="3"/>
        <v>247.44871979999999</v>
      </c>
    </row>
    <row r="11" spans="2:37" ht="15" customHeight="1" x14ac:dyDescent="0.2">
      <c r="B11" s="668" t="s">
        <v>305</v>
      </c>
      <c r="C11" s="918">
        <v>63.929000000000002</v>
      </c>
      <c r="D11" s="919">
        <v>1929.6859999999999</v>
      </c>
      <c r="E11" s="671">
        <v>11.6</v>
      </c>
      <c r="F11" s="699">
        <f t="shared" si="4"/>
        <v>1993.615</v>
      </c>
      <c r="G11" s="918">
        <v>40.026000000000003</v>
      </c>
      <c r="H11" s="919">
        <v>183.703</v>
      </c>
      <c r="I11" s="671">
        <v>17.97</v>
      </c>
      <c r="J11" s="699">
        <f t="shared" si="5"/>
        <v>223.72900000000001</v>
      </c>
      <c r="K11" s="923">
        <v>23.902999999999999</v>
      </c>
      <c r="L11" s="919">
        <v>1745.9839999999999</v>
      </c>
      <c r="M11" s="671">
        <v>12.82</v>
      </c>
      <c r="N11" s="699">
        <f t="shared" si="6"/>
        <v>1769.8869999999999</v>
      </c>
      <c r="P11" s="665">
        <f t="shared" si="7"/>
        <v>223.84357599999998</v>
      </c>
      <c r="Q11" s="472">
        <f t="shared" si="0"/>
        <v>33.011429100000001</v>
      </c>
      <c r="R11" s="666">
        <f t="shared" si="1"/>
        <v>223.83514879999998</v>
      </c>
      <c r="U11" s="668" t="str">
        <f>INDEX($B$7:$N$20,MATCH(5,$F$47:$F$60,FALSE),1)</f>
        <v>Thames</v>
      </c>
      <c r="V11" s="697">
        <f>INDEX($B$7:$N$20,MATCH(5,$F$47:$F$60,FALSE),2)</f>
        <v>186.92099999999999</v>
      </c>
      <c r="W11" s="698">
        <f>INDEX($B$7:$N$20,MATCH(5,$F$47:$F$60,FALSE),3)</f>
        <v>9122.7270000000008</v>
      </c>
      <c r="X11" s="675">
        <f>INDEX($B$7:$N$20,MATCH(5,$F$47:$F$60,FALSE),4)</f>
        <v>3.92</v>
      </c>
      <c r="Y11" s="699">
        <f>INDEX($B$7:$N$20,MATCH(5,$F$47:$F$60,FALSE),5)</f>
        <v>9309.648000000001</v>
      </c>
      <c r="Z11" s="697">
        <f>INDEX($B$7:$N$20,MATCH(5,$F$47:$F$60,FALSE),6)</f>
        <v>84.131</v>
      </c>
      <c r="AA11" s="698">
        <f>INDEX($B$7:$N$20,MATCH(5,$F$47:$F$60,FALSE),7)</f>
        <v>1897.39</v>
      </c>
      <c r="AB11" s="675">
        <f>INDEX($B$7:$N$20,MATCH(5,$F$47:$F$60,FALSE),8)</f>
        <v>8.01</v>
      </c>
      <c r="AC11" s="699">
        <f>INDEX($B$7:$N$20,MATCH(5,$F$47:$F$60,FALSE),9)</f>
        <v>1981.5210000000002</v>
      </c>
      <c r="AD11" s="925">
        <f>INDEX($B$7:$N$20,MATCH(5,$F$47:$F$60,FALSE),10)</f>
        <v>102.79</v>
      </c>
      <c r="AE11" s="698">
        <f>INDEX($B$7:$N$20,MATCH(5,$F$47:$F$60,FALSE),11)</f>
        <v>7241.6869999999999</v>
      </c>
      <c r="AF11" s="675">
        <f>INDEX($B$7:$N$20,MATCH(5,$F$47:$F$60,FALSE),12)</f>
        <v>4.62</v>
      </c>
      <c r="AG11" s="699">
        <f>INDEX($B$7:$N$20,MATCH(5,$F$47:$F$60,FALSE),13)</f>
        <v>7344.4769999999999</v>
      </c>
      <c r="AI11" s="665">
        <f t="shared" si="8"/>
        <v>357.6108984</v>
      </c>
      <c r="AJ11" s="472">
        <f t="shared" si="2"/>
        <v>151.98093900000001</v>
      </c>
      <c r="AK11" s="666">
        <f t="shared" si="3"/>
        <v>334.56593939999999</v>
      </c>
    </row>
    <row r="12" spans="2:37" ht="15" customHeight="1" x14ac:dyDescent="0.2">
      <c r="B12" s="668" t="s">
        <v>289</v>
      </c>
      <c r="C12" s="918">
        <v>42.38</v>
      </c>
      <c r="D12" s="919">
        <v>2638.2449999999999</v>
      </c>
      <c r="E12" s="671">
        <v>12.02</v>
      </c>
      <c r="F12" s="699">
        <f t="shared" si="4"/>
        <v>2680.625</v>
      </c>
      <c r="G12" s="918">
        <v>15.616</v>
      </c>
      <c r="H12" s="919">
        <v>277.69099999999997</v>
      </c>
      <c r="I12" s="671">
        <v>17.23</v>
      </c>
      <c r="J12" s="699">
        <f t="shared" si="5"/>
        <v>293.30699999999996</v>
      </c>
      <c r="K12" s="923">
        <v>26.763999999999999</v>
      </c>
      <c r="L12" s="919">
        <v>2360.5540000000001</v>
      </c>
      <c r="M12" s="671">
        <v>13.32</v>
      </c>
      <c r="N12" s="699">
        <f t="shared" si="6"/>
        <v>2387.3180000000002</v>
      </c>
      <c r="P12" s="665">
        <f t="shared" si="7"/>
        <v>317.11704899999995</v>
      </c>
      <c r="Q12" s="472">
        <f t="shared" si="0"/>
        <v>47.846159299999997</v>
      </c>
      <c r="R12" s="666">
        <f t="shared" si="1"/>
        <v>314.42579280000001</v>
      </c>
      <c r="U12" s="668" t="str">
        <f>INDEX($B$7:$N$20,MATCH(6,$F$47:$F$60,FALSE),1)</f>
        <v>East Anglia</v>
      </c>
      <c r="V12" s="697">
        <f>INDEX($B$7:$N$20,MATCH(6,$F$47:$F$60,FALSE),2)</f>
        <v>1336.0809999999999</v>
      </c>
      <c r="W12" s="698">
        <f>INDEX($B$7:$N$20,MATCH(6,$F$47:$F$60,FALSE),3)</f>
        <v>7854.8249999999998</v>
      </c>
      <c r="X12" s="675">
        <f>INDEX($B$7:$N$20,MATCH(6,$F$47:$F$60,FALSE),4)</f>
        <v>3.98</v>
      </c>
      <c r="Y12" s="699">
        <f>INDEX($B$7:$N$20,MATCH(6,$F$47:$F$60,FALSE),5)</f>
        <v>9190.905999999999</v>
      </c>
      <c r="Z12" s="697">
        <f>INDEX($B$7:$N$20,MATCH(6,$F$47:$F$60,FALSE),6)</f>
        <v>1086.8710000000001</v>
      </c>
      <c r="AA12" s="698">
        <f>INDEX($B$7:$N$20,MATCH(6,$F$47:$F$60,FALSE),7)</f>
        <v>1284.0039999999999</v>
      </c>
      <c r="AB12" s="675">
        <f>INDEX($B$7:$N$20,MATCH(6,$F$47:$F$60,FALSE),8)</f>
        <v>7.75</v>
      </c>
      <c r="AC12" s="699">
        <f>INDEX($B$7:$N$20,MATCH(6,$F$47:$F$60,FALSE),9)</f>
        <v>2370.875</v>
      </c>
      <c r="AD12" s="925">
        <f>INDEX($B$7:$N$20,MATCH(6,$F$47:$F$60,FALSE),10)</f>
        <v>249.21</v>
      </c>
      <c r="AE12" s="698">
        <f>INDEX($B$7:$N$20,MATCH(6,$F$47:$F$60,FALSE),11)</f>
        <v>6568.4470000000001</v>
      </c>
      <c r="AF12" s="675">
        <f>INDEX($B$7:$N$20,MATCH(6,$F$47:$F$60,FALSE),12)</f>
        <v>4.7300000000000004</v>
      </c>
      <c r="AG12" s="699">
        <f>INDEX($B$7:$N$20,MATCH(6,$F$47:$F$60,FALSE),13)</f>
        <v>6817.6570000000002</v>
      </c>
      <c r="AI12" s="665">
        <f t="shared" si="8"/>
        <v>312.62203499999998</v>
      </c>
      <c r="AJ12" s="472">
        <f t="shared" si="2"/>
        <v>99.51030999999999</v>
      </c>
      <c r="AK12" s="666">
        <f t="shared" si="3"/>
        <v>310.68754310000003</v>
      </c>
    </row>
    <row r="13" spans="2:37" ht="15" customHeight="1" x14ac:dyDescent="0.2">
      <c r="B13" s="668" t="s">
        <v>306</v>
      </c>
      <c r="C13" s="918">
        <v>342.23200000000003</v>
      </c>
      <c r="D13" s="919">
        <v>8167.3969999999999</v>
      </c>
      <c r="E13" s="671">
        <v>4.1399999999999997</v>
      </c>
      <c r="F13" s="699">
        <f t="shared" si="4"/>
        <v>8509.6290000000008</v>
      </c>
      <c r="G13" s="918">
        <v>172.03100000000001</v>
      </c>
      <c r="H13" s="919">
        <v>842.399</v>
      </c>
      <c r="I13" s="671">
        <v>9.75</v>
      </c>
      <c r="J13" s="699">
        <f t="shared" si="5"/>
        <v>1014.4300000000001</v>
      </c>
      <c r="K13" s="923">
        <v>170.20099999999999</v>
      </c>
      <c r="L13" s="919">
        <v>7322.9719999999998</v>
      </c>
      <c r="M13" s="671">
        <v>4.59</v>
      </c>
      <c r="N13" s="699">
        <f t="shared" si="6"/>
        <v>7493.1729999999998</v>
      </c>
      <c r="P13" s="665">
        <f t="shared" si="7"/>
        <v>338.13023579999992</v>
      </c>
      <c r="Q13" s="472">
        <f t="shared" si="0"/>
        <v>82.133902500000005</v>
      </c>
      <c r="R13" s="666">
        <f t="shared" si="1"/>
        <v>336.12441480000001</v>
      </c>
      <c r="U13" s="668" t="str">
        <f>INDEX($B$7:$N$20,MATCH(7,$F$47:$F$60,FALSE),1)</f>
        <v>Kent South London and East Sussex</v>
      </c>
      <c r="V13" s="697">
        <f>INDEX($B$7:$N$20,MATCH(7,$F$47:$F$60,FALSE),2)</f>
        <v>342.23200000000003</v>
      </c>
      <c r="W13" s="698">
        <f>INDEX($B$7:$N$20,MATCH(7,$F$47:$F$60,FALSE),3)</f>
        <v>8167.3969999999999</v>
      </c>
      <c r="X13" s="675">
        <f>INDEX($B$7:$N$20,MATCH(7,$F$47:$F$60,FALSE),4)</f>
        <v>4.1399999999999997</v>
      </c>
      <c r="Y13" s="699">
        <f>INDEX($B$7:$N$20,MATCH(7,$F$47:$F$60,FALSE),5)</f>
        <v>8509.6290000000008</v>
      </c>
      <c r="Z13" s="697">
        <f>INDEX($B$7:$N$20,MATCH(7,$F$47:$F$60,FALSE),6)</f>
        <v>172.03100000000001</v>
      </c>
      <c r="AA13" s="698">
        <f>INDEX($B$7:$N$20,MATCH(7,$F$47:$F$60,FALSE),7)</f>
        <v>842.399</v>
      </c>
      <c r="AB13" s="675">
        <f>INDEX($B$7:$N$20,MATCH(7,$F$47:$F$60,FALSE),8)</f>
        <v>9.75</v>
      </c>
      <c r="AC13" s="699">
        <f>INDEX($B$7:$N$20,MATCH(7,$F$47:$F$60,FALSE),9)</f>
        <v>1014.4300000000001</v>
      </c>
      <c r="AD13" s="925">
        <f>INDEX($B$7:$N$20,MATCH(7,$F$47:$F$60,FALSE),10)</f>
        <v>170.20099999999999</v>
      </c>
      <c r="AE13" s="698">
        <f>INDEX($B$7:$N$20,MATCH(7,$F$47:$F$60,FALSE),11)</f>
        <v>7322.9719999999998</v>
      </c>
      <c r="AF13" s="675">
        <f>INDEX($B$7:$N$20,MATCH(7,$F$47:$F$60,FALSE),12)</f>
        <v>4.59</v>
      </c>
      <c r="AG13" s="699">
        <f>INDEX($B$7:$N$20,MATCH(7,$F$47:$F$60,FALSE),13)</f>
        <v>7493.1729999999998</v>
      </c>
      <c r="AI13" s="665">
        <f t="shared" si="8"/>
        <v>338.13023579999992</v>
      </c>
      <c r="AJ13" s="472">
        <f t="shared" si="2"/>
        <v>82.133902500000005</v>
      </c>
      <c r="AK13" s="666">
        <f t="shared" si="3"/>
        <v>336.12441480000001</v>
      </c>
    </row>
    <row r="14" spans="2:37" ht="15" customHeight="1" x14ac:dyDescent="0.2">
      <c r="B14" s="668" t="s">
        <v>290</v>
      </c>
      <c r="C14" s="918">
        <v>591.37699999999995</v>
      </c>
      <c r="D14" s="919">
        <v>3102.527</v>
      </c>
      <c r="E14" s="671">
        <v>5.84</v>
      </c>
      <c r="F14" s="699">
        <f t="shared" si="4"/>
        <v>3693.904</v>
      </c>
      <c r="G14" s="918">
        <v>221.45500000000001</v>
      </c>
      <c r="H14" s="919">
        <v>365.37099999999998</v>
      </c>
      <c r="I14" s="671">
        <v>12.1</v>
      </c>
      <c r="J14" s="699">
        <f t="shared" si="5"/>
        <v>586.82600000000002</v>
      </c>
      <c r="K14" s="923">
        <v>369.92200000000003</v>
      </c>
      <c r="L14" s="919">
        <v>2732.7860000000001</v>
      </c>
      <c r="M14" s="671">
        <v>6.69</v>
      </c>
      <c r="N14" s="699">
        <f t="shared" si="6"/>
        <v>3102.7080000000001</v>
      </c>
      <c r="P14" s="665">
        <f t="shared" si="7"/>
        <v>181.18757679999999</v>
      </c>
      <c r="Q14" s="472">
        <f t="shared" si="0"/>
        <v>44.209890999999999</v>
      </c>
      <c r="R14" s="666">
        <f t="shared" si="1"/>
        <v>182.82338340000001</v>
      </c>
      <c r="U14" s="668" t="str">
        <f>INDEX($B$7:$N$20,MATCH(8,$F$47:$F$60,FALSE),1)</f>
        <v>Yorkshire</v>
      </c>
      <c r="V14" s="697">
        <f>INDEX($B$7:$N$20,MATCH(8,$F$47:$F$60,FALSE),2)</f>
        <v>962.83799999999997</v>
      </c>
      <c r="W14" s="698">
        <f>INDEX($B$7:$N$20,MATCH(8,$F$47:$F$60,FALSE),3)</f>
        <v>6749.9769999999999</v>
      </c>
      <c r="X14" s="675">
        <f>INDEX($B$7:$N$20,MATCH(8,$F$47:$F$60,FALSE),4)</f>
        <v>3.27</v>
      </c>
      <c r="Y14" s="699">
        <f>INDEX($B$7:$N$20,MATCH(8,$F$47:$F$60,FALSE),5)</f>
        <v>7712.8149999999996</v>
      </c>
      <c r="Z14" s="697">
        <f>INDEX($B$7:$N$20,MATCH(8,$F$47:$F$60,FALSE),6)</f>
        <v>807.20299999999997</v>
      </c>
      <c r="AA14" s="698">
        <f>INDEX($B$7:$N$20,MATCH(8,$F$47:$F$60,FALSE),7)</f>
        <v>1819.9090000000001</v>
      </c>
      <c r="AB14" s="675">
        <f>INDEX($B$7:$N$20,MATCH(8,$F$47:$F$60,FALSE),8)</f>
        <v>5.77</v>
      </c>
      <c r="AC14" s="699">
        <f>INDEX($B$7:$N$20,MATCH(8,$F$47:$F$60,FALSE),9)</f>
        <v>2627.1120000000001</v>
      </c>
      <c r="AD14" s="925">
        <f>INDEX($B$7:$N$20,MATCH(8,$F$47:$F$60,FALSE),10)</f>
        <v>155.63499999999999</v>
      </c>
      <c r="AE14" s="698">
        <f>INDEX($B$7:$N$20,MATCH(8,$F$47:$F$60,FALSE),11)</f>
        <v>4931.2449999999999</v>
      </c>
      <c r="AF14" s="675">
        <f>INDEX($B$7:$N$20,MATCH(8,$F$47:$F$60,FALSE),12)</f>
        <v>4.22</v>
      </c>
      <c r="AG14" s="699">
        <f>INDEX($B$7:$N$20,MATCH(8,$F$47:$F$60,FALSE),13)</f>
        <v>5086.88</v>
      </c>
      <c r="AI14" s="665">
        <f t="shared" si="8"/>
        <v>220.72424790000002</v>
      </c>
      <c r="AJ14" s="472">
        <f t="shared" si="2"/>
        <v>105.00874930000001</v>
      </c>
      <c r="AK14" s="666">
        <f t="shared" si="3"/>
        <v>208.09853899999999</v>
      </c>
    </row>
    <row r="15" spans="2:37" ht="15" customHeight="1" x14ac:dyDescent="0.2">
      <c r="B15" s="668" t="s">
        <v>291</v>
      </c>
      <c r="C15" s="918">
        <v>2340.904</v>
      </c>
      <c r="D15" s="919">
        <v>5103.7020000000002</v>
      </c>
      <c r="E15" s="671">
        <v>4.82</v>
      </c>
      <c r="F15" s="699">
        <f t="shared" si="4"/>
        <v>7444.6059999999998</v>
      </c>
      <c r="G15" s="918">
        <v>2280.712</v>
      </c>
      <c r="H15" s="919">
        <v>2553.5990000000002</v>
      </c>
      <c r="I15" s="671">
        <v>7.05</v>
      </c>
      <c r="J15" s="699">
        <f t="shared" si="5"/>
        <v>4834.3109999999997</v>
      </c>
      <c r="K15" s="923">
        <v>60.192</v>
      </c>
      <c r="L15" s="919">
        <v>2543.8690000000001</v>
      </c>
      <c r="M15" s="671">
        <v>7.13</v>
      </c>
      <c r="N15" s="699">
        <f t="shared" si="6"/>
        <v>2604.0610000000001</v>
      </c>
      <c r="P15" s="665">
        <f t="shared" si="7"/>
        <v>245.99843640000003</v>
      </c>
      <c r="Q15" s="472">
        <f t="shared" si="0"/>
        <v>180.0287295</v>
      </c>
      <c r="R15" s="666">
        <f t="shared" si="1"/>
        <v>181.37785970000002</v>
      </c>
      <c r="U15" s="668" t="str">
        <f>INDEX($B$7:$N$20,MATCH(9,$F$47:$F$60,FALSE),1)</f>
        <v>North East</v>
      </c>
      <c r="V15" s="697">
        <f>INDEX($B$7:$N$20,MATCH(9,$F$47:$F$60,FALSE),2)</f>
        <v>2340.904</v>
      </c>
      <c r="W15" s="698">
        <f>INDEX($B$7:$N$20,MATCH(9,$F$47:$F$60,FALSE),3)</f>
        <v>5103.7020000000002</v>
      </c>
      <c r="X15" s="675">
        <f>INDEX($B$7:$N$20,MATCH(9,$F$47:$F$60,FALSE),4)</f>
        <v>4.82</v>
      </c>
      <c r="Y15" s="699">
        <f>INDEX($B$7:$N$20,MATCH(9,$F$47:$F$60,FALSE),5)</f>
        <v>7444.6059999999998</v>
      </c>
      <c r="Z15" s="697">
        <f>INDEX($B$7:$N$20,MATCH(9,$F$47:$F$60,FALSE),6)</f>
        <v>2280.712</v>
      </c>
      <c r="AA15" s="698">
        <f>INDEX($B$7:$N$20,MATCH(9,$F$47:$F$60,FALSE),7)</f>
        <v>2553.5990000000002</v>
      </c>
      <c r="AB15" s="675">
        <f>INDEX($B$7:$N$20,MATCH(9,$F$47:$F$60,FALSE),8)</f>
        <v>7.05</v>
      </c>
      <c r="AC15" s="699">
        <f>INDEX($B$7:$N$20,MATCH(9,$F$47:$F$60,FALSE),9)</f>
        <v>4834.3109999999997</v>
      </c>
      <c r="AD15" s="925">
        <f>INDEX($B$7:$N$20,MATCH(9,$F$47:$F$60,FALSE),10)</f>
        <v>60.192</v>
      </c>
      <c r="AE15" s="698">
        <f>INDEX($B$7:$N$20,MATCH(9,$F$47:$F$60,FALSE),11)</f>
        <v>2543.8690000000001</v>
      </c>
      <c r="AF15" s="675">
        <f>INDEX($B$7:$N$20,MATCH(9,$F$47:$F$60,FALSE),12)</f>
        <v>7.13</v>
      </c>
      <c r="AG15" s="699">
        <f>INDEX($B$7:$N$20,MATCH(9,$F$47:$F$60,FALSE),13)</f>
        <v>2604.0610000000001</v>
      </c>
      <c r="AI15" s="665">
        <f t="shared" si="8"/>
        <v>245.99843640000003</v>
      </c>
      <c r="AJ15" s="472">
        <f t="shared" si="2"/>
        <v>180.0287295</v>
      </c>
      <c r="AK15" s="666">
        <f t="shared" si="3"/>
        <v>181.37785970000002</v>
      </c>
    </row>
    <row r="16" spans="2:37" ht="15" customHeight="1" x14ac:dyDescent="0.2">
      <c r="B16" s="668" t="s">
        <v>292</v>
      </c>
      <c r="C16" s="918">
        <v>2302.98</v>
      </c>
      <c r="D16" s="919">
        <v>9250.0349999999999</v>
      </c>
      <c r="E16" s="671">
        <v>2.95</v>
      </c>
      <c r="F16" s="699">
        <f t="shared" si="4"/>
        <v>11553.014999999999</v>
      </c>
      <c r="G16" s="918">
        <v>687.40499999999997</v>
      </c>
      <c r="H16" s="919">
        <v>1442.4970000000001</v>
      </c>
      <c r="I16" s="671">
        <v>6.44</v>
      </c>
      <c r="J16" s="699">
        <f t="shared" si="5"/>
        <v>2129.902</v>
      </c>
      <c r="K16" s="923">
        <v>1615.575</v>
      </c>
      <c r="L16" s="919">
        <v>7801.0069999999996</v>
      </c>
      <c r="M16" s="671">
        <v>3.39</v>
      </c>
      <c r="N16" s="699">
        <f t="shared" si="6"/>
        <v>9416.5820000000003</v>
      </c>
      <c r="P16" s="665">
        <f t="shared" si="7"/>
        <v>272.87603250000001</v>
      </c>
      <c r="Q16" s="472">
        <f t="shared" si="0"/>
        <v>92.896806800000007</v>
      </c>
      <c r="R16" s="666">
        <f t="shared" si="1"/>
        <v>264.45413730000001</v>
      </c>
      <c r="U16" s="668" t="str">
        <f>INDEX($B$7:$N$20,MATCH(10,$F$47:$F$60,FALSE),1)</f>
        <v>Cumbria and Lancashire</v>
      </c>
      <c r="V16" s="697">
        <f>INDEX($B$7:$N$20,MATCH(10,$F$47:$F$60,FALSE),2)</f>
        <v>1084.1869999999999</v>
      </c>
      <c r="W16" s="698">
        <f>INDEX($B$7:$N$20,MATCH(10,$F$47:$F$60,FALSE),3)</f>
        <v>5131.335</v>
      </c>
      <c r="X16" s="675">
        <f>INDEX($B$7:$N$20,MATCH(10,$F$47:$F$60,FALSE),4)</f>
        <v>4.2699999999999996</v>
      </c>
      <c r="Y16" s="699">
        <f>INDEX($B$7:$N$20,MATCH(10,$F$47:$F$60,FALSE),5)</f>
        <v>6215.5219999999999</v>
      </c>
      <c r="Z16" s="697">
        <f>INDEX($B$7:$N$20,MATCH(10,$F$47:$F$60,FALSE),6)</f>
        <v>920.92899999999997</v>
      </c>
      <c r="AA16" s="698">
        <f>INDEX($B$7:$N$20,MATCH(10,$F$47:$F$60,FALSE),7)</f>
        <v>1820.877</v>
      </c>
      <c r="AB16" s="675">
        <f>INDEX($B$7:$N$20,MATCH(10,$F$47:$F$60,FALSE),8)</f>
        <v>6.86</v>
      </c>
      <c r="AC16" s="699">
        <f>INDEX($B$7:$N$20,MATCH(10,$F$47:$F$60,FALSE),9)</f>
        <v>2741.806</v>
      </c>
      <c r="AD16" s="925">
        <f>INDEX($B$7:$N$20,MATCH(10,$F$47:$F$60,FALSE),10)</f>
        <v>163.25899999999999</v>
      </c>
      <c r="AE16" s="698">
        <f>INDEX($B$7:$N$20,MATCH(10,$F$47:$F$60,FALSE),11)</f>
        <v>3306.3009999999999</v>
      </c>
      <c r="AF16" s="675">
        <f>INDEX($B$7:$N$20,MATCH(10,$F$47:$F$60,FALSE),12)</f>
        <v>5.88</v>
      </c>
      <c r="AG16" s="699">
        <f>INDEX($B$7:$N$20,MATCH(10,$F$47:$F$60,FALSE),13)</f>
        <v>3469.56</v>
      </c>
      <c r="AI16" s="665">
        <f t="shared" si="8"/>
        <v>219.10800449999999</v>
      </c>
      <c r="AJ16" s="472">
        <f t="shared" si="2"/>
        <v>124.9121622</v>
      </c>
      <c r="AK16" s="666">
        <f t="shared" si="3"/>
        <v>194.4104988</v>
      </c>
    </row>
    <row r="17" spans="2:37" ht="15" customHeight="1" x14ac:dyDescent="0.2">
      <c r="B17" s="668" t="s">
        <v>293</v>
      </c>
      <c r="C17" s="918">
        <v>186.92099999999999</v>
      </c>
      <c r="D17" s="919">
        <v>9122.7270000000008</v>
      </c>
      <c r="E17" s="671">
        <v>3.92</v>
      </c>
      <c r="F17" s="699">
        <f t="shared" si="4"/>
        <v>9309.648000000001</v>
      </c>
      <c r="G17" s="918">
        <v>84.131</v>
      </c>
      <c r="H17" s="919">
        <v>1897.39</v>
      </c>
      <c r="I17" s="671">
        <v>8.01</v>
      </c>
      <c r="J17" s="699">
        <f t="shared" si="5"/>
        <v>1981.5210000000002</v>
      </c>
      <c r="K17" s="923">
        <v>102.79</v>
      </c>
      <c r="L17" s="919">
        <v>7241.6869999999999</v>
      </c>
      <c r="M17" s="671">
        <v>4.62</v>
      </c>
      <c r="N17" s="699">
        <f t="shared" si="6"/>
        <v>7344.4769999999999</v>
      </c>
      <c r="P17" s="665">
        <f t="shared" si="7"/>
        <v>357.6108984</v>
      </c>
      <c r="Q17" s="472">
        <f t="shared" si="0"/>
        <v>151.98093900000001</v>
      </c>
      <c r="R17" s="666">
        <f t="shared" si="1"/>
        <v>334.56593939999999</v>
      </c>
      <c r="U17" s="668" t="str">
        <f>INDEX($B$7:$N$20,MATCH(11,$F$47:$F$60,FALSE),1)</f>
        <v>East Midlands</v>
      </c>
      <c r="V17" s="697">
        <f>INDEX($B$7:$N$20,MATCH(11,$F$47:$F$60,FALSE),2)</f>
        <v>441.72</v>
      </c>
      <c r="W17" s="698">
        <f>INDEX($B$7:$N$20,MATCH(11,$F$47:$F$60,FALSE),3)</f>
        <v>3284.8690000000001</v>
      </c>
      <c r="X17" s="675">
        <f>INDEX($B$7:$N$20,MATCH(11,$F$47:$F$60,FALSE),4)</f>
        <v>6.66</v>
      </c>
      <c r="Y17" s="699">
        <f>INDEX($B$7:$N$20,MATCH(11,$F$47:$F$60,FALSE),5)</f>
        <v>3726.5889999999999</v>
      </c>
      <c r="Z17" s="697">
        <f>INDEX($B$7:$N$20,MATCH(11,$F$47:$F$60,FALSE),6)</f>
        <v>340.25</v>
      </c>
      <c r="AA17" s="698">
        <f>INDEX($B$7:$N$20,MATCH(11,$F$47:$F$60,FALSE),7)</f>
        <v>760.28899999999999</v>
      </c>
      <c r="AB17" s="675">
        <f>INDEX($B$7:$N$20,MATCH(11,$F$47:$F$60,FALSE),8)</f>
        <v>12.99</v>
      </c>
      <c r="AC17" s="699">
        <f>INDEX($B$7:$N$20,MATCH(11,$F$47:$F$60,FALSE),9)</f>
        <v>1100.539</v>
      </c>
      <c r="AD17" s="925">
        <f>INDEX($B$7:$N$20,MATCH(11,$F$47:$F$60,FALSE),10)</f>
        <v>101.471</v>
      </c>
      <c r="AE17" s="698">
        <f>INDEX($B$7:$N$20,MATCH(11,$F$47:$F$60,FALSE),11)</f>
        <v>2524.58</v>
      </c>
      <c r="AF17" s="675">
        <f>INDEX($B$7:$N$20,MATCH(11,$F$47:$F$60,FALSE),12)</f>
        <v>8.49</v>
      </c>
      <c r="AG17" s="699">
        <f>INDEX($B$7:$N$20,MATCH(11,$F$47:$F$60,FALSE),13)</f>
        <v>2626.0509999999999</v>
      </c>
      <c r="AI17" s="665">
        <f t="shared" si="8"/>
        <v>218.77227540000001</v>
      </c>
      <c r="AJ17" s="472">
        <f t="shared" si="2"/>
        <v>98.761541099999988</v>
      </c>
      <c r="AK17" s="666">
        <f t="shared" si="3"/>
        <v>214.33684199999999</v>
      </c>
    </row>
    <row r="18" spans="2:37" ht="15" customHeight="1" x14ac:dyDescent="0.2">
      <c r="B18" s="668" t="s">
        <v>294</v>
      </c>
      <c r="C18" s="918">
        <v>1473.15</v>
      </c>
      <c r="D18" s="919">
        <v>8449.7440000000006</v>
      </c>
      <c r="E18" s="671">
        <v>3.07</v>
      </c>
      <c r="F18" s="699">
        <f t="shared" si="4"/>
        <v>9922.8940000000002</v>
      </c>
      <c r="G18" s="918">
        <v>447.87099999999998</v>
      </c>
      <c r="H18" s="919">
        <v>1566.8109999999999</v>
      </c>
      <c r="I18" s="671">
        <v>7.04</v>
      </c>
      <c r="J18" s="699">
        <f t="shared" si="5"/>
        <v>2014.6819999999998</v>
      </c>
      <c r="K18" s="923">
        <v>356.79899999999998</v>
      </c>
      <c r="L18" s="919">
        <v>6892.7219999999998</v>
      </c>
      <c r="M18" s="671">
        <v>3.59</v>
      </c>
      <c r="N18" s="699">
        <f t="shared" si="6"/>
        <v>7249.5209999999997</v>
      </c>
      <c r="P18" s="665">
        <f t="shared" si="7"/>
        <v>259.40714080000004</v>
      </c>
      <c r="Q18" s="472">
        <f t="shared" si="0"/>
        <v>110.30349440000001</v>
      </c>
      <c r="R18" s="666">
        <f t="shared" si="1"/>
        <v>247.44871979999999</v>
      </c>
      <c r="U18" s="668" t="str">
        <f>INDEX($B$7:$N$20,MATCH(12,$F$47:$F$60,FALSE),1)</f>
        <v>Lincolnshire and Northamptonshire</v>
      </c>
      <c r="V18" s="697">
        <f>INDEX($B$7:$N$20,MATCH(12,$F$47:$F$60,FALSE),2)</f>
        <v>591.37699999999995</v>
      </c>
      <c r="W18" s="698">
        <f>INDEX($B$7:$N$20,MATCH(12,$F$47:$F$60,FALSE),3)</f>
        <v>3102.527</v>
      </c>
      <c r="X18" s="675">
        <f>INDEX($B$7:$N$20,MATCH(12,$F$47:$F$60,FALSE),4)</f>
        <v>5.84</v>
      </c>
      <c r="Y18" s="699">
        <f>INDEX($B$7:$N$20,MATCH(12,$F$47:$F$60,FALSE),5)</f>
        <v>3693.904</v>
      </c>
      <c r="Z18" s="697">
        <f>INDEX($B$7:$N$20,MATCH(12,$F$47:$F$60,FALSE),6)</f>
        <v>221.45500000000001</v>
      </c>
      <c r="AA18" s="698">
        <f>INDEX($B$7:$N$20,MATCH(12,$F$47:$F$60,FALSE),7)</f>
        <v>365.37099999999998</v>
      </c>
      <c r="AB18" s="675">
        <f>INDEX($B$7:$N$20,MATCH(12,$F$47:$F$60,FALSE),8)</f>
        <v>12.1</v>
      </c>
      <c r="AC18" s="699">
        <f>INDEX($B$7:$N$20,MATCH(12,$F$47:$F$60,FALSE),9)</f>
        <v>586.82600000000002</v>
      </c>
      <c r="AD18" s="925">
        <f>INDEX($B$7:$N$20,MATCH(12,$F$47:$F$60,FALSE),10)</f>
        <v>369.92200000000003</v>
      </c>
      <c r="AE18" s="698">
        <f>INDEX($B$7:$N$20,MATCH(12,$F$47:$F$60,FALSE),11)</f>
        <v>2732.7860000000001</v>
      </c>
      <c r="AF18" s="675">
        <f>INDEX($B$7:$N$20,MATCH(12,$F$47:$F$60,FALSE),12)</f>
        <v>6.69</v>
      </c>
      <c r="AG18" s="699">
        <f>INDEX($B$7:$N$20,MATCH(12,$F$47:$F$60,FALSE),13)</f>
        <v>3102.7080000000001</v>
      </c>
      <c r="AI18" s="665">
        <f t="shared" si="8"/>
        <v>181.18757679999999</v>
      </c>
      <c r="AJ18" s="472">
        <f t="shared" si="2"/>
        <v>44.209890999999999</v>
      </c>
      <c r="AK18" s="666">
        <f t="shared" si="3"/>
        <v>182.82338340000001</v>
      </c>
    </row>
    <row r="19" spans="2:37" ht="15" customHeight="1" x14ac:dyDescent="0.2">
      <c r="B19" s="668" t="s">
        <v>295</v>
      </c>
      <c r="C19" s="918">
        <v>804.67</v>
      </c>
      <c r="D19" s="919">
        <v>11334.34</v>
      </c>
      <c r="E19" s="671">
        <v>4.21</v>
      </c>
      <c r="F19" s="699">
        <f t="shared" si="4"/>
        <v>12139.01</v>
      </c>
      <c r="G19" s="918">
        <v>961.72400000000005</v>
      </c>
      <c r="H19" s="919">
        <v>2476.2080000000001</v>
      </c>
      <c r="I19" s="671">
        <v>8.6999999999999993</v>
      </c>
      <c r="J19" s="699">
        <f t="shared" si="5"/>
        <v>3437.9320000000002</v>
      </c>
      <c r="K19" s="923">
        <v>511.42599999999999</v>
      </c>
      <c r="L19" s="919">
        <v>8888.3379999999997</v>
      </c>
      <c r="M19" s="671">
        <v>4.88</v>
      </c>
      <c r="N19" s="699">
        <f t="shared" si="6"/>
        <v>9399.7639999999992</v>
      </c>
      <c r="P19" s="665">
        <f t="shared" si="7"/>
        <v>477.17571400000003</v>
      </c>
      <c r="Q19" s="472">
        <f t="shared" si="0"/>
        <v>215.43009599999996</v>
      </c>
      <c r="R19" s="666">
        <f t="shared" si="1"/>
        <v>433.75089439999994</v>
      </c>
      <c r="U19" s="668" t="str">
        <f>INDEX($B$7:$N$20,MATCH(13,$F$47:$F$60,FALSE),1)</f>
        <v>Hertfordshire and North London</v>
      </c>
      <c r="V19" s="697">
        <f>INDEX($B$7:$N$20,MATCH(13,$F$47:$F$60,FALSE),2)</f>
        <v>42.38</v>
      </c>
      <c r="W19" s="698">
        <f>INDEX($B$7:$N$20,MATCH(13,$F$47:$F$60,FALSE),3)</f>
        <v>2638.2449999999999</v>
      </c>
      <c r="X19" s="675">
        <f>INDEX($B$7:$N$20,MATCH(13,$F$47:$F$60,FALSE),4)</f>
        <v>12.02</v>
      </c>
      <c r="Y19" s="699">
        <f>INDEX($B$7:$N$20,MATCH(13,$F$47:$F$60,FALSE),5)</f>
        <v>2680.625</v>
      </c>
      <c r="Z19" s="697">
        <f>INDEX($B$7:$N$20,MATCH(13,$F$47:$F$60,FALSE),6)</f>
        <v>15.616</v>
      </c>
      <c r="AA19" s="698">
        <f>INDEX($B$7:$N$20,MATCH(13,$F$47:$F$60,FALSE),7)</f>
        <v>277.69099999999997</v>
      </c>
      <c r="AB19" s="675">
        <f>INDEX($B$7:$N$20,MATCH(13,$F$47:$F$60,FALSE),8)</f>
        <v>17.23</v>
      </c>
      <c r="AC19" s="699">
        <f>INDEX($B$7:$N$20,MATCH(13,$F$47:$F$60,FALSE),9)</f>
        <v>293.30699999999996</v>
      </c>
      <c r="AD19" s="925">
        <f>INDEX($B$7:$N$20,MATCH(13,$F$47:$F$60,FALSE),10)</f>
        <v>26.763999999999999</v>
      </c>
      <c r="AE19" s="698">
        <f>INDEX($B$7:$N$20,MATCH(13,$F$47:$F$60,FALSE),11)</f>
        <v>2360.5540000000001</v>
      </c>
      <c r="AF19" s="675">
        <f>INDEX($B$7:$N$20,MATCH(13,$F$47:$F$60,FALSE),12)</f>
        <v>13.32</v>
      </c>
      <c r="AG19" s="699">
        <f>INDEX($B$7:$N$20,MATCH(13,$F$47:$F$60,FALSE),13)</f>
        <v>2387.3180000000002</v>
      </c>
      <c r="AI19" s="665">
        <f t="shared" si="8"/>
        <v>317.11704899999995</v>
      </c>
      <c r="AJ19" s="472">
        <f t="shared" si="2"/>
        <v>47.846159299999997</v>
      </c>
      <c r="AK19" s="666">
        <f t="shared" si="3"/>
        <v>314.42579280000001</v>
      </c>
    </row>
    <row r="20" spans="2:37" ht="15" customHeight="1" thickBot="1" x14ac:dyDescent="0.25">
      <c r="B20" s="677" t="s">
        <v>296</v>
      </c>
      <c r="C20" s="920">
        <v>962.83799999999997</v>
      </c>
      <c r="D20" s="921">
        <v>6749.9769999999999</v>
      </c>
      <c r="E20" s="680">
        <v>3.27</v>
      </c>
      <c r="F20" s="702">
        <f t="shared" si="4"/>
        <v>7712.8149999999996</v>
      </c>
      <c r="G20" s="920">
        <v>807.20299999999997</v>
      </c>
      <c r="H20" s="921">
        <v>1819.9090000000001</v>
      </c>
      <c r="I20" s="680">
        <v>5.77</v>
      </c>
      <c r="J20" s="702">
        <f t="shared" si="5"/>
        <v>2627.1120000000001</v>
      </c>
      <c r="K20" s="924">
        <v>155.63499999999999</v>
      </c>
      <c r="L20" s="921">
        <v>4931.2449999999999</v>
      </c>
      <c r="M20" s="680">
        <v>4.22</v>
      </c>
      <c r="N20" s="702">
        <f t="shared" si="6"/>
        <v>5086.88</v>
      </c>
      <c r="P20" s="683">
        <f t="shared" si="7"/>
        <v>220.72424790000002</v>
      </c>
      <c r="Q20" s="684">
        <f t="shared" si="0"/>
        <v>105.00874930000001</v>
      </c>
      <c r="R20" s="685">
        <f t="shared" si="1"/>
        <v>208.09853899999999</v>
      </c>
      <c r="U20" s="677" t="str">
        <f>INDEX($B$7:$N$20,MATCH(14,$F$47:$F$60,FALSE),1)</f>
        <v>Greater Manchester Merseyside and Cheshire</v>
      </c>
      <c r="V20" s="700">
        <f>INDEX($B$7:$N$20,MATCH(14,$F$47:$F$60,FALSE),2)</f>
        <v>63.929000000000002</v>
      </c>
      <c r="W20" s="701">
        <f>INDEX($B$7:$N$20,MATCH(14,$F$47:$F$60,FALSE),3)</f>
        <v>1929.6859999999999</v>
      </c>
      <c r="X20" s="688">
        <f>INDEX($B$7:$N$20,MATCH(14,$F$47:$F$60,FALSE),4)</f>
        <v>11.6</v>
      </c>
      <c r="Y20" s="702">
        <f>INDEX($B$7:$N$20,MATCH(14,$F$47:$F$60,FALSE),5)</f>
        <v>1993.615</v>
      </c>
      <c r="Z20" s="700">
        <f>INDEX($B$7:$N$20,MATCH(14,$F$47:$F$60,FALSE),6)</f>
        <v>40.026000000000003</v>
      </c>
      <c r="AA20" s="701">
        <f>INDEX($B$7:$N$20,MATCH(14,$F$47:$F$60,FALSE),7)</f>
        <v>183.703</v>
      </c>
      <c r="AB20" s="688">
        <f>INDEX($B$7:$N$20,MATCH(14,$F$47:$F$60,FALSE),8)</f>
        <v>17.97</v>
      </c>
      <c r="AC20" s="702">
        <f>INDEX($B$7:$N$20,MATCH(14,$F$47:$F$60,FALSE),9)</f>
        <v>223.72900000000001</v>
      </c>
      <c r="AD20" s="926">
        <f>INDEX($B$7:$N$20,MATCH(14,$F$47:$F$60,FALSE),10)</f>
        <v>23.902999999999999</v>
      </c>
      <c r="AE20" s="701">
        <f>INDEX($B$7:$N$20,MATCH(14,$F$47:$F$60,FALSE),11)</f>
        <v>1745.9839999999999</v>
      </c>
      <c r="AF20" s="688">
        <f>INDEX($B$7:$N$20,MATCH(14,$F$47:$F$60,FALSE),12)</f>
        <v>12.82</v>
      </c>
      <c r="AG20" s="702">
        <f>INDEX($B$7:$N$20,MATCH(14,$F$47:$F$60,FALSE),13)</f>
        <v>1769.8869999999999</v>
      </c>
      <c r="AI20" s="683">
        <f t="shared" si="8"/>
        <v>223.84357599999998</v>
      </c>
      <c r="AJ20" s="684">
        <f t="shared" si="2"/>
        <v>33.011429100000001</v>
      </c>
      <c r="AK20" s="685">
        <f t="shared" si="3"/>
        <v>223.83514879999998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 t="s">
        <v>721</v>
      </c>
      <c r="C26" s="660"/>
      <c r="D26" s="661"/>
      <c r="E26" s="662"/>
      <c r="F26" s="663">
        <f>C26+D26</f>
        <v>0</v>
      </c>
      <c r="G26" s="664"/>
      <c r="H26" s="661"/>
      <c r="I26" s="662"/>
      <c r="J26" s="696"/>
      <c r="K26" s="664"/>
      <c r="L26" s="661"/>
      <c r="M26" s="662"/>
      <c r="N26" s="696"/>
      <c r="P26" s="665">
        <f>D26*E26/100</f>
        <v>0</v>
      </c>
      <c r="Q26" s="472"/>
      <c r="R26" s="666"/>
    </row>
    <row r="27" spans="2:37" ht="15" customHeight="1" x14ac:dyDescent="0.2">
      <c r="B27" s="668" t="s">
        <v>286</v>
      </c>
      <c r="C27" s="669"/>
      <c r="D27" s="670"/>
      <c r="E27" s="671"/>
      <c r="F27" s="663">
        <f>C27+D27</f>
        <v>0</v>
      </c>
      <c r="G27" s="672"/>
      <c r="H27" s="670"/>
      <c r="I27" s="671"/>
      <c r="J27" s="696"/>
      <c r="K27" s="672"/>
      <c r="L27" s="670"/>
      <c r="M27" s="671"/>
      <c r="N27" s="696"/>
      <c r="P27" s="665">
        <f>D27*E27/100</f>
        <v>0</v>
      </c>
      <c r="Q27" s="472"/>
      <c r="R27" s="666"/>
    </row>
    <row r="28" spans="2:37" ht="15" customHeight="1" x14ac:dyDescent="0.2">
      <c r="B28" s="668" t="s">
        <v>307</v>
      </c>
      <c r="C28" s="669"/>
      <c r="D28" s="670"/>
      <c r="E28" s="671"/>
      <c r="F28" s="663">
        <f t="shared" ref="F28:F40" si="9">C28+D28</f>
        <v>0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ref="P28:P40" si="10">D28*E28/100</f>
        <v>0</v>
      </c>
      <c r="Q28" s="472"/>
      <c r="R28" s="666"/>
    </row>
    <row r="29" spans="2:37" ht="15" customHeight="1" x14ac:dyDescent="0.2">
      <c r="B29" s="668" t="s">
        <v>287</v>
      </c>
      <c r="C29" s="669"/>
      <c r="D29" s="670"/>
      <c r="E29" s="671"/>
      <c r="F29" s="663">
        <f t="shared" si="9"/>
        <v>0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10"/>
        <v>0</v>
      </c>
      <c r="Q29" s="472"/>
      <c r="R29" s="666"/>
    </row>
    <row r="30" spans="2:37" ht="15" customHeight="1" x14ac:dyDescent="0.2">
      <c r="B30" s="668" t="s">
        <v>288</v>
      </c>
      <c r="C30" s="669"/>
      <c r="D30" s="670"/>
      <c r="E30" s="671"/>
      <c r="F30" s="663">
        <f t="shared" si="9"/>
        <v>0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10"/>
        <v>0</v>
      </c>
      <c r="Q30" s="472"/>
      <c r="R30" s="666"/>
    </row>
    <row r="31" spans="2:37" ht="15" customHeight="1" x14ac:dyDescent="0.2">
      <c r="B31" s="668" t="s">
        <v>305</v>
      </c>
      <c r="C31" s="669"/>
      <c r="D31" s="670"/>
      <c r="E31" s="671"/>
      <c r="F31" s="663">
        <f t="shared" si="9"/>
        <v>0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10"/>
        <v>0</v>
      </c>
      <c r="Q31" s="472"/>
      <c r="R31" s="666"/>
    </row>
    <row r="32" spans="2:37" ht="15" customHeight="1" x14ac:dyDescent="0.2">
      <c r="B32" s="668" t="s">
        <v>289</v>
      </c>
      <c r="C32" s="669"/>
      <c r="D32" s="670"/>
      <c r="E32" s="671"/>
      <c r="F32" s="663">
        <f t="shared" si="9"/>
        <v>0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10"/>
        <v>0</v>
      </c>
      <c r="Q32" s="472"/>
      <c r="R32" s="666"/>
    </row>
    <row r="33" spans="2:18" ht="15" customHeight="1" x14ac:dyDescent="0.2">
      <c r="B33" s="668" t="s">
        <v>306</v>
      </c>
      <c r="C33" s="669"/>
      <c r="D33" s="670"/>
      <c r="E33" s="671"/>
      <c r="F33" s="663">
        <f t="shared" si="9"/>
        <v>0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10"/>
        <v>0</v>
      </c>
      <c r="Q33" s="472"/>
      <c r="R33" s="666"/>
    </row>
    <row r="34" spans="2:18" ht="15" customHeight="1" x14ac:dyDescent="0.2">
      <c r="B34" s="668" t="s">
        <v>290</v>
      </c>
      <c r="C34" s="669"/>
      <c r="D34" s="670"/>
      <c r="E34" s="671"/>
      <c r="F34" s="663">
        <f t="shared" si="9"/>
        <v>0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10"/>
        <v>0</v>
      </c>
      <c r="Q34" s="472"/>
      <c r="R34" s="666"/>
    </row>
    <row r="35" spans="2:18" ht="15" customHeight="1" x14ac:dyDescent="0.2">
      <c r="B35" s="668" t="s">
        <v>291</v>
      </c>
      <c r="C35" s="669"/>
      <c r="D35" s="670"/>
      <c r="E35" s="671"/>
      <c r="F35" s="663">
        <f t="shared" si="9"/>
        <v>0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10"/>
        <v>0</v>
      </c>
      <c r="Q35" s="472"/>
      <c r="R35" s="666"/>
    </row>
    <row r="36" spans="2:18" ht="15" customHeight="1" x14ac:dyDescent="0.2">
      <c r="B36" s="668" t="s">
        <v>292</v>
      </c>
      <c r="C36" s="669"/>
      <c r="D36" s="670"/>
      <c r="E36" s="671"/>
      <c r="F36" s="663">
        <f t="shared" si="9"/>
        <v>0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10"/>
        <v>0</v>
      </c>
      <c r="Q36" s="472"/>
      <c r="R36" s="666"/>
    </row>
    <row r="37" spans="2:18" ht="15" customHeight="1" x14ac:dyDescent="0.2">
      <c r="B37" s="668" t="s">
        <v>293</v>
      </c>
      <c r="C37" s="669"/>
      <c r="D37" s="670"/>
      <c r="E37" s="671"/>
      <c r="F37" s="663">
        <f t="shared" si="9"/>
        <v>0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10"/>
        <v>0</v>
      </c>
      <c r="Q37" s="472"/>
      <c r="R37" s="666"/>
    </row>
    <row r="38" spans="2:18" ht="15" customHeight="1" x14ac:dyDescent="0.2">
      <c r="B38" s="668" t="s">
        <v>294</v>
      </c>
      <c r="C38" s="669"/>
      <c r="D38" s="670"/>
      <c r="E38" s="671"/>
      <c r="F38" s="663">
        <f t="shared" si="9"/>
        <v>0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10"/>
        <v>0</v>
      </c>
      <c r="Q38" s="472"/>
      <c r="R38" s="666"/>
    </row>
    <row r="39" spans="2:18" ht="15" customHeight="1" x14ac:dyDescent="0.2">
      <c r="B39" s="668" t="s">
        <v>295</v>
      </c>
      <c r="C39" s="669"/>
      <c r="D39" s="670"/>
      <c r="E39" s="671"/>
      <c r="F39" s="663">
        <f t="shared" si="9"/>
        <v>0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10"/>
        <v>0</v>
      </c>
      <c r="Q39" s="472"/>
      <c r="R39" s="666"/>
    </row>
    <row r="40" spans="2:18" ht="15" customHeight="1" thickBot="1" x14ac:dyDescent="0.25">
      <c r="B40" s="677" t="s">
        <v>296</v>
      </c>
      <c r="C40" s="678"/>
      <c r="D40" s="679"/>
      <c r="E40" s="680"/>
      <c r="F40" s="681">
        <f t="shared" si="9"/>
        <v>0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10"/>
        <v>0</v>
      </c>
      <c r="Q40" s="684"/>
      <c r="R40" s="685"/>
    </row>
    <row r="42" spans="2:18" ht="15" customHeight="1" thickBot="1" x14ac:dyDescent="0.25"/>
    <row r="43" spans="2:18" ht="15" customHeight="1" x14ac:dyDescent="0.2">
      <c r="B43" s="1000" t="s">
        <v>753</v>
      </c>
      <c r="C43" s="1002" t="s">
        <v>106</v>
      </c>
      <c r="D43" s="1002"/>
      <c r="E43" s="1002"/>
      <c r="F43" s="1002"/>
      <c r="G43" s="1002" t="s">
        <v>92</v>
      </c>
      <c r="H43" s="1002"/>
      <c r="I43" s="1002"/>
      <c r="J43" s="1002"/>
      <c r="K43" s="1002" t="s">
        <v>105</v>
      </c>
      <c r="L43" s="1002"/>
      <c r="M43" s="1002"/>
      <c r="N43" s="1002"/>
      <c r="P43" s="1003" t="s">
        <v>754</v>
      </c>
      <c r="Q43" s="996" t="s">
        <v>755</v>
      </c>
      <c r="R43" s="998" t="s">
        <v>756</v>
      </c>
    </row>
    <row r="44" spans="2:18" ht="15" customHeight="1" x14ac:dyDescent="0.2">
      <c r="B44" s="1000"/>
      <c r="C44" s="653" t="s">
        <v>78</v>
      </c>
      <c r="D44" s="653" t="s">
        <v>309</v>
      </c>
      <c r="E44" s="653"/>
      <c r="F44" s="653" t="s">
        <v>80</v>
      </c>
      <c r="G44" s="653" t="s">
        <v>78</v>
      </c>
      <c r="H44" s="653" t="s">
        <v>309</v>
      </c>
      <c r="I44" s="653"/>
      <c r="J44" s="653" t="s">
        <v>80</v>
      </c>
      <c r="K44" s="653" t="s">
        <v>78</v>
      </c>
      <c r="L44" s="653" t="s">
        <v>309</v>
      </c>
      <c r="M44" s="653"/>
      <c r="N44" s="653" t="s">
        <v>80</v>
      </c>
      <c r="P44" s="1004"/>
      <c r="Q44" s="997"/>
      <c r="R44" s="999"/>
    </row>
    <row r="45" spans="2:18" ht="15" customHeight="1" thickBot="1" x14ac:dyDescent="0.25">
      <c r="B45" s="1001"/>
      <c r="C45" s="654" t="s">
        <v>758</v>
      </c>
      <c r="D45" s="654" t="s">
        <v>758</v>
      </c>
      <c r="E45" s="655"/>
      <c r="F45" s="654" t="s">
        <v>758</v>
      </c>
      <c r="G45" s="654" t="s">
        <v>757</v>
      </c>
      <c r="H45" s="654" t="s">
        <v>757</v>
      </c>
      <c r="I45" s="655" t="s">
        <v>82</v>
      </c>
      <c r="J45" s="654" t="s">
        <v>757</v>
      </c>
      <c r="K45" s="654" t="s">
        <v>757</v>
      </c>
      <c r="L45" s="654" t="s">
        <v>757</v>
      </c>
      <c r="M45" s="655" t="s">
        <v>82</v>
      </c>
      <c r="N45" s="654" t="s">
        <v>757</v>
      </c>
      <c r="P45" s="656"/>
      <c r="Q45" s="657"/>
      <c r="R45" s="658"/>
    </row>
    <row r="46" spans="2:18" ht="15" customHeight="1" x14ac:dyDescent="0.2">
      <c r="B46" s="659" t="s">
        <v>721</v>
      </c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 t="s">
        <v>286</v>
      </c>
      <c r="C47" s="697">
        <f>_xlfn.RANK.EQ(C7,$C$7:$C$20,0)</f>
        <v>5</v>
      </c>
      <c r="D47" s="698">
        <f>_xlfn.RANK.EQ(D7,$D$7:$D$20,0)</f>
        <v>9</v>
      </c>
      <c r="E47" s="671"/>
      <c r="F47" s="699">
        <f>_xlfn.RANK.EQ(F7,$F$7:$F$20,0)</f>
        <v>10</v>
      </c>
      <c r="G47" s="697">
        <f>_xlfn.RANK.EQ(G7,$G$7:$G$20,0)</f>
        <v>4</v>
      </c>
      <c r="H47" s="698">
        <f>_xlfn.RANK.EQ(H7,$H$7:$H$20,0)</f>
        <v>5</v>
      </c>
      <c r="I47" s="671"/>
      <c r="J47" s="699">
        <f>_xlfn.RANK.EQ(J7,$J$7:$J$20,0)</f>
        <v>3</v>
      </c>
      <c r="K47" s="697">
        <f>_xlfn.RANK.EQ(K7,$K$7:$K$20,0)</f>
        <v>7</v>
      </c>
      <c r="L47" s="698">
        <f>_xlfn.RANK.EQ(L7,$L$7:$L$20,0)</f>
        <v>9</v>
      </c>
      <c r="M47" s="671"/>
      <c r="N47" s="699">
        <f>_xlfn.RANK.EQ(N7,$N$7:$N$20,0)</f>
        <v>9</v>
      </c>
      <c r="P47" s="665"/>
      <c r="Q47" s="472"/>
      <c r="R47" s="666"/>
    </row>
    <row r="48" spans="2:18" ht="15" customHeight="1" x14ac:dyDescent="0.2">
      <c r="B48" s="668" t="s">
        <v>307</v>
      </c>
      <c r="C48" s="697">
        <f t="shared" ref="C48:C60" si="11">_xlfn.RANK.EQ(C8,$C$7:$C$20,0)</f>
        <v>8</v>
      </c>
      <c r="D48" s="698">
        <f t="shared" ref="D48:D60" si="12">_xlfn.RANK.EQ(D8,$D$7:$D$20,0)</f>
        <v>2</v>
      </c>
      <c r="E48" s="671"/>
      <c r="F48" s="699">
        <f t="shared" ref="F48:F60" si="13">_xlfn.RANK.EQ(F8,$F$7:$F$20,0)</f>
        <v>3</v>
      </c>
      <c r="G48" s="697">
        <f t="shared" ref="G48:G60" si="14">_xlfn.RANK.EQ(G8,$G$7:$G$20,0)</f>
        <v>7</v>
      </c>
      <c r="H48" s="698">
        <f t="shared" ref="H48:H60" si="15">_xlfn.RANK.EQ(H8,$H$7:$H$20,0)</f>
        <v>4</v>
      </c>
      <c r="I48" s="671"/>
      <c r="J48" s="699">
        <f t="shared" ref="J48:J60" si="16">_xlfn.RANK.EQ(J8,$J$7:$J$20,0)</f>
        <v>5</v>
      </c>
      <c r="K48" s="697">
        <f t="shared" ref="K48:K60" si="17">_xlfn.RANK.EQ(K8,$K$7:$K$20,0)</f>
        <v>9</v>
      </c>
      <c r="L48" s="698">
        <f t="shared" ref="L48:L60" si="18">_xlfn.RANK.EQ(L8,$L$7:$L$20,0)</f>
        <v>3</v>
      </c>
      <c r="M48" s="671"/>
      <c r="N48" s="699">
        <f t="shared" ref="N48:N60" si="19">_xlfn.RANK.EQ(N8,$N$7:$N$20,0)</f>
        <v>3</v>
      </c>
      <c r="P48" s="665"/>
      <c r="Q48" s="472"/>
      <c r="R48" s="666"/>
    </row>
    <row r="49" spans="2:18" ht="15" customHeight="1" x14ac:dyDescent="0.2">
      <c r="B49" s="668" t="s">
        <v>287</v>
      </c>
      <c r="C49" s="697">
        <f t="shared" si="11"/>
        <v>4</v>
      </c>
      <c r="D49" s="698">
        <f t="shared" si="12"/>
        <v>7</v>
      </c>
      <c r="E49" s="671"/>
      <c r="F49" s="699">
        <f t="shared" si="13"/>
        <v>6</v>
      </c>
      <c r="G49" s="697">
        <f t="shared" si="14"/>
        <v>2</v>
      </c>
      <c r="H49" s="698">
        <f t="shared" si="15"/>
        <v>9</v>
      </c>
      <c r="I49" s="671"/>
      <c r="J49" s="699">
        <f t="shared" si="16"/>
        <v>6</v>
      </c>
      <c r="K49" s="697">
        <f t="shared" si="17"/>
        <v>5</v>
      </c>
      <c r="L49" s="698">
        <f t="shared" si="18"/>
        <v>7</v>
      </c>
      <c r="M49" s="671"/>
      <c r="N49" s="699">
        <f t="shared" si="19"/>
        <v>7</v>
      </c>
      <c r="P49" s="665"/>
      <c r="Q49" s="472"/>
      <c r="R49" s="666"/>
    </row>
    <row r="50" spans="2:18" ht="15" customHeight="1" x14ac:dyDescent="0.2">
      <c r="B50" s="668" t="s">
        <v>288</v>
      </c>
      <c r="C50" s="697">
        <f t="shared" si="11"/>
        <v>10</v>
      </c>
      <c r="D50" s="698">
        <f t="shared" si="12"/>
        <v>11</v>
      </c>
      <c r="E50" s="671"/>
      <c r="F50" s="699">
        <f t="shared" si="13"/>
        <v>11</v>
      </c>
      <c r="G50" s="697">
        <f t="shared" si="14"/>
        <v>9</v>
      </c>
      <c r="H50" s="698">
        <f t="shared" si="15"/>
        <v>11</v>
      </c>
      <c r="I50" s="671"/>
      <c r="J50" s="699">
        <f t="shared" si="16"/>
        <v>10</v>
      </c>
      <c r="K50" s="697">
        <f t="shared" si="17"/>
        <v>11</v>
      </c>
      <c r="L50" s="698">
        <f t="shared" si="18"/>
        <v>12</v>
      </c>
      <c r="M50" s="671"/>
      <c r="N50" s="699">
        <f t="shared" si="19"/>
        <v>11</v>
      </c>
      <c r="P50" s="665"/>
      <c r="Q50" s="472"/>
      <c r="R50" s="666"/>
    </row>
    <row r="51" spans="2:18" ht="15" customHeight="1" x14ac:dyDescent="0.2">
      <c r="B51" s="668" t="s">
        <v>305</v>
      </c>
      <c r="C51" s="697">
        <f t="shared" si="11"/>
        <v>13</v>
      </c>
      <c r="D51" s="698">
        <f t="shared" si="12"/>
        <v>14</v>
      </c>
      <c r="E51" s="671"/>
      <c r="F51" s="699">
        <f t="shared" si="13"/>
        <v>14</v>
      </c>
      <c r="G51" s="697">
        <f t="shared" si="14"/>
        <v>13</v>
      </c>
      <c r="H51" s="698">
        <f t="shared" si="15"/>
        <v>14</v>
      </c>
      <c r="I51" s="671"/>
      <c r="J51" s="699">
        <f t="shared" si="16"/>
        <v>14</v>
      </c>
      <c r="K51" s="697">
        <f t="shared" si="17"/>
        <v>14</v>
      </c>
      <c r="L51" s="698">
        <f t="shared" si="18"/>
        <v>14</v>
      </c>
      <c r="M51" s="671"/>
      <c r="N51" s="699">
        <f t="shared" si="19"/>
        <v>14</v>
      </c>
      <c r="P51" s="665"/>
      <c r="Q51" s="472"/>
      <c r="R51" s="666"/>
    </row>
    <row r="52" spans="2:18" ht="15" customHeight="1" x14ac:dyDescent="0.2">
      <c r="B52" s="668" t="s">
        <v>289</v>
      </c>
      <c r="C52" s="697">
        <f t="shared" si="11"/>
        <v>14</v>
      </c>
      <c r="D52" s="698">
        <f t="shared" si="12"/>
        <v>13</v>
      </c>
      <c r="E52" s="671"/>
      <c r="F52" s="699">
        <f t="shared" si="13"/>
        <v>13</v>
      </c>
      <c r="G52" s="697">
        <f t="shared" si="14"/>
        <v>14</v>
      </c>
      <c r="H52" s="698">
        <f t="shared" si="15"/>
        <v>13</v>
      </c>
      <c r="I52" s="671"/>
      <c r="J52" s="699">
        <f t="shared" si="16"/>
        <v>13</v>
      </c>
      <c r="K52" s="697">
        <f t="shared" si="17"/>
        <v>13</v>
      </c>
      <c r="L52" s="698">
        <f t="shared" si="18"/>
        <v>13</v>
      </c>
      <c r="M52" s="671"/>
      <c r="N52" s="699">
        <f t="shared" si="19"/>
        <v>13</v>
      </c>
      <c r="P52" s="665"/>
      <c r="Q52" s="472"/>
      <c r="R52" s="666"/>
    </row>
    <row r="53" spans="2:18" ht="15" customHeight="1" x14ac:dyDescent="0.2">
      <c r="B53" s="668" t="s">
        <v>306</v>
      </c>
      <c r="C53" s="697">
        <f t="shared" si="11"/>
        <v>11</v>
      </c>
      <c r="D53" s="698">
        <f t="shared" si="12"/>
        <v>6</v>
      </c>
      <c r="E53" s="671"/>
      <c r="F53" s="699">
        <f t="shared" si="13"/>
        <v>7</v>
      </c>
      <c r="G53" s="697">
        <f t="shared" si="14"/>
        <v>11</v>
      </c>
      <c r="H53" s="698">
        <f t="shared" si="15"/>
        <v>10</v>
      </c>
      <c r="I53" s="671"/>
      <c r="J53" s="699">
        <f t="shared" si="16"/>
        <v>11</v>
      </c>
      <c r="K53" s="697">
        <f t="shared" si="17"/>
        <v>6</v>
      </c>
      <c r="L53" s="698">
        <f t="shared" si="18"/>
        <v>4</v>
      </c>
      <c r="M53" s="671"/>
      <c r="N53" s="699">
        <f t="shared" si="19"/>
        <v>4</v>
      </c>
      <c r="P53" s="665"/>
      <c r="Q53" s="472"/>
      <c r="R53" s="666"/>
    </row>
    <row r="54" spans="2:18" ht="15" customHeight="1" x14ac:dyDescent="0.2">
      <c r="B54" s="668" t="s">
        <v>290</v>
      </c>
      <c r="C54" s="697">
        <f t="shared" si="11"/>
        <v>9</v>
      </c>
      <c r="D54" s="698">
        <f t="shared" si="12"/>
        <v>12</v>
      </c>
      <c r="E54" s="671"/>
      <c r="F54" s="699">
        <f t="shared" si="13"/>
        <v>12</v>
      </c>
      <c r="G54" s="697">
        <f t="shared" si="14"/>
        <v>10</v>
      </c>
      <c r="H54" s="698">
        <f t="shared" si="15"/>
        <v>12</v>
      </c>
      <c r="I54" s="671"/>
      <c r="J54" s="699">
        <f t="shared" si="16"/>
        <v>12</v>
      </c>
      <c r="K54" s="697">
        <f t="shared" si="17"/>
        <v>3</v>
      </c>
      <c r="L54" s="698">
        <f t="shared" si="18"/>
        <v>10</v>
      </c>
      <c r="M54" s="671"/>
      <c r="N54" s="699">
        <f t="shared" si="19"/>
        <v>10</v>
      </c>
      <c r="P54" s="665"/>
      <c r="Q54" s="472"/>
      <c r="R54" s="666"/>
    </row>
    <row r="55" spans="2:18" ht="15" customHeight="1" x14ac:dyDescent="0.2">
      <c r="B55" s="668" t="s">
        <v>291</v>
      </c>
      <c r="C55" s="697">
        <f t="shared" si="11"/>
        <v>1</v>
      </c>
      <c r="D55" s="698">
        <f t="shared" si="12"/>
        <v>10</v>
      </c>
      <c r="E55" s="671"/>
      <c r="F55" s="699">
        <f t="shared" si="13"/>
        <v>9</v>
      </c>
      <c r="G55" s="697">
        <f t="shared" si="14"/>
        <v>1</v>
      </c>
      <c r="H55" s="698">
        <f t="shared" si="15"/>
        <v>1</v>
      </c>
      <c r="I55" s="671"/>
      <c r="J55" s="699">
        <f t="shared" si="16"/>
        <v>1</v>
      </c>
      <c r="K55" s="697">
        <f t="shared" si="17"/>
        <v>12</v>
      </c>
      <c r="L55" s="698">
        <f t="shared" si="18"/>
        <v>11</v>
      </c>
      <c r="M55" s="671"/>
      <c r="N55" s="699">
        <f t="shared" si="19"/>
        <v>12</v>
      </c>
      <c r="P55" s="665"/>
      <c r="Q55" s="472"/>
      <c r="R55" s="666"/>
    </row>
    <row r="56" spans="2:18" ht="15" customHeight="1" x14ac:dyDescent="0.2">
      <c r="B56" s="668" t="s">
        <v>292</v>
      </c>
      <c r="C56" s="697">
        <f t="shared" si="11"/>
        <v>2</v>
      </c>
      <c r="D56" s="698">
        <f t="shared" si="12"/>
        <v>3</v>
      </c>
      <c r="E56" s="671"/>
      <c r="F56" s="699">
        <f t="shared" si="13"/>
        <v>2</v>
      </c>
      <c r="G56" s="697">
        <f t="shared" si="14"/>
        <v>6</v>
      </c>
      <c r="H56" s="698">
        <f t="shared" si="15"/>
        <v>8</v>
      </c>
      <c r="I56" s="671"/>
      <c r="J56" s="699">
        <f t="shared" si="16"/>
        <v>7</v>
      </c>
      <c r="K56" s="697">
        <f t="shared" si="17"/>
        <v>1</v>
      </c>
      <c r="L56" s="698">
        <f t="shared" si="18"/>
        <v>2</v>
      </c>
      <c r="M56" s="671"/>
      <c r="N56" s="699">
        <f t="shared" si="19"/>
        <v>1</v>
      </c>
      <c r="P56" s="665"/>
      <c r="Q56" s="472"/>
      <c r="R56" s="666"/>
    </row>
    <row r="57" spans="2:18" ht="15" customHeight="1" x14ac:dyDescent="0.2">
      <c r="B57" s="668" t="s">
        <v>293</v>
      </c>
      <c r="C57" s="697">
        <f t="shared" si="11"/>
        <v>12</v>
      </c>
      <c r="D57" s="698">
        <f t="shared" si="12"/>
        <v>4</v>
      </c>
      <c r="E57" s="671"/>
      <c r="F57" s="699">
        <f t="shared" si="13"/>
        <v>5</v>
      </c>
      <c r="G57" s="697">
        <f t="shared" si="14"/>
        <v>12</v>
      </c>
      <c r="H57" s="698">
        <f t="shared" si="15"/>
        <v>3</v>
      </c>
      <c r="I57" s="671"/>
      <c r="J57" s="699">
        <f t="shared" si="16"/>
        <v>9</v>
      </c>
      <c r="K57" s="697">
        <f t="shared" si="17"/>
        <v>10</v>
      </c>
      <c r="L57" s="698">
        <f t="shared" si="18"/>
        <v>5</v>
      </c>
      <c r="M57" s="671"/>
      <c r="N57" s="699">
        <f t="shared" si="19"/>
        <v>5</v>
      </c>
      <c r="P57" s="665"/>
      <c r="Q57" s="472"/>
      <c r="R57" s="666"/>
    </row>
    <row r="58" spans="2:18" ht="15" customHeight="1" x14ac:dyDescent="0.2">
      <c r="B58" s="668" t="s">
        <v>294</v>
      </c>
      <c r="C58" s="697">
        <f t="shared" si="11"/>
        <v>3</v>
      </c>
      <c r="D58" s="698">
        <f t="shared" si="12"/>
        <v>5</v>
      </c>
      <c r="E58" s="671"/>
      <c r="F58" s="699">
        <f t="shared" si="13"/>
        <v>4</v>
      </c>
      <c r="G58" s="697">
        <f t="shared" si="14"/>
        <v>8</v>
      </c>
      <c r="H58" s="698">
        <f t="shared" si="15"/>
        <v>7</v>
      </c>
      <c r="I58" s="671"/>
      <c r="J58" s="699">
        <f t="shared" si="16"/>
        <v>8</v>
      </c>
      <c r="K58" s="697">
        <f t="shared" si="17"/>
        <v>4</v>
      </c>
      <c r="L58" s="698">
        <f t="shared" si="18"/>
        <v>6</v>
      </c>
      <c r="M58" s="671"/>
      <c r="N58" s="699">
        <f t="shared" si="19"/>
        <v>6</v>
      </c>
      <c r="P58" s="665"/>
      <c r="Q58" s="472"/>
      <c r="R58" s="666"/>
    </row>
    <row r="59" spans="2:18" ht="15" customHeight="1" x14ac:dyDescent="0.2">
      <c r="B59" s="668" t="s">
        <v>295</v>
      </c>
      <c r="C59" s="697">
        <f t="shared" si="11"/>
        <v>7</v>
      </c>
      <c r="D59" s="698">
        <f t="shared" si="12"/>
        <v>1</v>
      </c>
      <c r="E59" s="671"/>
      <c r="F59" s="699">
        <f t="shared" si="13"/>
        <v>1</v>
      </c>
      <c r="G59" s="697">
        <f t="shared" si="14"/>
        <v>3</v>
      </c>
      <c r="H59" s="698">
        <f t="shared" si="15"/>
        <v>2</v>
      </c>
      <c r="I59" s="671"/>
      <c r="J59" s="699">
        <f t="shared" si="16"/>
        <v>2</v>
      </c>
      <c r="K59" s="697">
        <f t="shared" si="17"/>
        <v>2</v>
      </c>
      <c r="L59" s="698">
        <f t="shared" si="18"/>
        <v>1</v>
      </c>
      <c r="M59" s="671"/>
      <c r="N59" s="699">
        <f t="shared" si="19"/>
        <v>2</v>
      </c>
      <c r="P59" s="665"/>
      <c r="Q59" s="472"/>
      <c r="R59" s="666"/>
    </row>
    <row r="60" spans="2:18" ht="15" customHeight="1" thickBot="1" x14ac:dyDescent="0.25">
      <c r="B60" s="677" t="s">
        <v>296</v>
      </c>
      <c r="C60" s="700">
        <f t="shared" si="11"/>
        <v>6</v>
      </c>
      <c r="D60" s="701">
        <f t="shared" si="12"/>
        <v>8</v>
      </c>
      <c r="E60" s="680"/>
      <c r="F60" s="702">
        <f t="shared" si="13"/>
        <v>8</v>
      </c>
      <c r="G60" s="700">
        <f t="shared" si="14"/>
        <v>5</v>
      </c>
      <c r="H60" s="701">
        <f t="shared" si="15"/>
        <v>6</v>
      </c>
      <c r="I60" s="680"/>
      <c r="J60" s="702">
        <f t="shared" si="16"/>
        <v>4</v>
      </c>
      <c r="K60" s="700">
        <f t="shared" si="17"/>
        <v>8</v>
      </c>
      <c r="L60" s="701">
        <f t="shared" si="18"/>
        <v>8</v>
      </c>
      <c r="M60" s="680"/>
      <c r="N60" s="702">
        <f t="shared" si="19"/>
        <v>8</v>
      </c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 t="s">
        <v>753</v>
      </c>
      <c r="C63" s="1002" t="s">
        <v>76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520</v>
      </c>
      <c r="Q63" s="996"/>
      <c r="R63" s="998"/>
    </row>
    <row r="64" spans="2:18" ht="15" customHeight="1" x14ac:dyDescent="0.2">
      <c r="B64" s="1000"/>
      <c r="C64" s="653" t="s">
        <v>78</v>
      </c>
      <c r="D64" s="653" t="s">
        <v>309</v>
      </c>
      <c r="E64" s="653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 t="s">
        <v>757</v>
      </c>
      <c r="D65" s="654" t="s">
        <v>757</v>
      </c>
      <c r="E65" s="655" t="s">
        <v>82</v>
      </c>
      <c r="F65" s="694" t="s">
        <v>757</v>
      </c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 t="s">
        <v>721</v>
      </c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 t="s">
        <v>286</v>
      </c>
      <c r="C67" s="697" t="e">
        <f>_xlfn.RANK.EQ(C27,$C$27:$C$40,0)</f>
        <v>#N/A</v>
      </c>
      <c r="D67" s="698" t="e">
        <f>_xlfn.RANK.EQ(D27,$D$27:$D$40,0)</f>
        <v>#N/A</v>
      </c>
      <c r="E67" s="671"/>
      <c r="F67" s="699">
        <f>_xlfn.RANK.EQ(F27,$F$27:$F$40,0)</f>
        <v>1</v>
      </c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 t="s">
        <v>307</v>
      </c>
      <c r="C68" s="697" t="e">
        <f t="shared" ref="C68:C80" si="20">_xlfn.RANK.EQ(C28,$C$27:$C$40,0)</f>
        <v>#N/A</v>
      </c>
      <c r="D68" s="698" t="e">
        <f t="shared" ref="D68:D80" si="21">_xlfn.RANK.EQ(D28,$D$27:$D$40,0)</f>
        <v>#N/A</v>
      </c>
      <c r="E68" s="671"/>
      <c r="F68" s="699">
        <f t="shared" ref="F68:F80" si="22">_xlfn.RANK.EQ(F28,$F$27:$F$40,0)</f>
        <v>1</v>
      </c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 t="s">
        <v>287</v>
      </c>
      <c r="C69" s="697" t="e">
        <f t="shared" si="20"/>
        <v>#N/A</v>
      </c>
      <c r="D69" s="698" t="e">
        <f t="shared" si="21"/>
        <v>#N/A</v>
      </c>
      <c r="E69" s="671"/>
      <c r="F69" s="699">
        <f t="shared" si="22"/>
        <v>1</v>
      </c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 t="s">
        <v>288</v>
      </c>
      <c r="C70" s="697" t="e">
        <f t="shared" si="20"/>
        <v>#N/A</v>
      </c>
      <c r="D70" s="698" t="e">
        <f t="shared" si="21"/>
        <v>#N/A</v>
      </c>
      <c r="E70" s="671"/>
      <c r="F70" s="699">
        <f t="shared" si="22"/>
        <v>1</v>
      </c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 t="s">
        <v>305</v>
      </c>
      <c r="C71" s="697" t="e">
        <f t="shared" si="20"/>
        <v>#N/A</v>
      </c>
      <c r="D71" s="698" t="e">
        <f t="shared" si="21"/>
        <v>#N/A</v>
      </c>
      <c r="E71" s="671"/>
      <c r="F71" s="699">
        <f t="shared" si="22"/>
        <v>1</v>
      </c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 t="s">
        <v>289</v>
      </c>
      <c r="C72" s="697" t="e">
        <f t="shared" si="20"/>
        <v>#N/A</v>
      </c>
      <c r="D72" s="698" t="e">
        <f t="shared" si="21"/>
        <v>#N/A</v>
      </c>
      <c r="E72" s="671"/>
      <c r="F72" s="699">
        <f t="shared" si="22"/>
        <v>1</v>
      </c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 t="s">
        <v>306</v>
      </c>
      <c r="C73" s="697" t="e">
        <f t="shared" si="20"/>
        <v>#N/A</v>
      </c>
      <c r="D73" s="698" t="e">
        <f t="shared" si="21"/>
        <v>#N/A</v>
      </c>
      <c r="E73" s="671"/>
      <c r="F73" s="699">
        <f t="shared" si="22"/>
        <v>1</v>
      </c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 t="s">
        <v>290</v>
      </c>
      <c r="C74" s="697" t="e">
        <f t="shared" si="20"/>
        <v>#N/A</v>
      </c>
      <c r="D74" s="698" t="e">
        <f t="shared" si="21"/>
        <v>#N/A</v>
      </c>
      <c r="E74" s="671"/>
      <c r="F74" s="699">
        <f t="shared" si="22"/>
        <v>1</v>
      </c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 t="s">
        <v>291</v>
      </c>
      <c r="C75" s="697" t="e">
        <f t="shared" si="20"/>
        <v>#N/A</v>
      </c>
      <c r="D75" s="698" t="e">
        <f t="shared" si="21"/>
        <v>#N/A</v>
      </c>
      <c r="E75" s="671"/>
      <c r="F75" s="699">
        <f t="shared" si="22"/>
        <v>1</v>
      </c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 t="s">
        <v>292</v>
      </c>
      <c r="C76" s="697" t="e">
        <f t="shared" si="20"/>
        <v>#N/A</v>
      </c>
      <c r="D76" s="698" t="e">
        <f t="shared" si="21"/>
        <v>#N/A</v>
      </c>
      <c r="E76" s="671"/>
      <c r="F76" s="699">
        <f t="shared" si="22"/>
        <v>1</v>
      </c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 t="s">
        <v>293</v>
      </c>
      <c r="C77" s="697" t="e">
        <f t="shared" si="20"/>
        <v>#N/A</v>
      </c>
      <c r="D77" s="698" t="e">
        <f t="shared" si="21"/>
        <v>#N/A</v>
      </c>
      <c r="E77" s="671"/>
      <c r="F77" s="699">
        <f t="shared" si="22"/>
        <v>1</v>
      </c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 t="s">
        <v>294</v>
      </c>
      <c r="C78" s="697" t="e">
        <f t="shared" si="20"/>
        <v>#N/A</v>
      </c>
      <c r="D78" s="698" t="e">
        <f t="shared" si="21"/>
        <v>#N/A</v>
      </c>
      <c r="E78" s="671"/>
      <c r="F78" s="699">
        <f t="shared" si="22"/>
        <v>1</v>
      </c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 t="s">
        <v>295</v>
      </c>
      <c r="C79" s="697" t="e">
        <f t="shared" si="20"/>
        <v>#N/A</v>
      </c>
      <c r="D79" s="698" t="e">
        <f t="shared" si="21"/>
        <v>#N/A</v>
      </c>
      <c r="E79" s="671"/>
      <c r="F79" s="699">
        <f t="shared" si="22"/>
        <v>1</v>
      </c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 t="s">
        <v>296</v>
      </c>
      <c r="C80" s="700" t="e">
        <f t="shared" si="20"/>
        <v>#N/A</v>
      </c>
      <c r="D80" s="701" t="e">
        <f t="shared" si="21"/>
        <v>#N/A</v>
      </c>
      <c r="E80" s="680"/>
      <c r="F80" s="702">
        <f t="shared" si="22"/>
        <v>1</v>
      </c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8" tint="0.59999389629810485"/>
  </sheetPr>
  <dimension ref="B3:F18"/>
  <sheetViews>
    <sheetView workbookViewId="0">
      <selection activeCell="E18" sqref="E18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422</v>
      </c>
      <c r="C3" t="s">
        <v>495</v>
      </c>
    </row>
    <row r="5" spans="2:6" ht="15" customHeight="1" x14ac:dyDescent="0.2">
      <c r="B5" s="1085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086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44" t="str">
        <f>Index!$B$4</f>
        <v>England</v>
      </c>
      <c r="C7" s="136"/>
      <c r="D7" s="136"/>
      <c r="E7" s="136"/>
      <c r="F7" s="136"/>
    </row>
    <row r="8" spans="2:6" ht="15" customHeight="1" x14ac:dyDescent="0.2">
      <c r="B8" s="42" t="s">
        <v>332</v>
      </c>
      <c r="C8" s="137">
        <f>'Section 10 chart data'!D50</f>
        <v>1357.6379999999999</v>
      </c>
      <c r="D8" s="138">
        <f>'Section 10 chart data'!J50</f>
        <v>2957.9369999999999</v>
      </c>
      <c r="E8" s="900">
        <f>'Section 10 chart data'!K50</f>
        <v>4.9175326735365372</v>
      </c>
      <c r="F8" s="139">
        <f>SUM(C8,D8)</f>
        <v>4315.5749999999998</v>
      </c>
    </row>
    <row r="9" spans="2:6" ht="15" customHeight="1" x14ac:dyDescent="0.2">
      <c r="B9" s="42" t="s">
        <v>222</v>
      </c>
      <c r="C9" s="137">
        <f>'Section 10 chart data'!D51</f>
        <v>1151.4490000000001</v>
      </c>
      <c r="D9" s="138">
        <f>'Section 10 chart data'!J51</f>
        <v>3264.904</v>
      </c>
      <c r="E9" s="900">
        <f>'Section 10 chart data'!K51</f>
        <v>4.7723267050589984</v>
      </c>
      <c r="F9" s="139">
        <f t="shared" ref="F9:F17" si="0">SUM(C9,D9)</f>
        <v>4416.3530000000001</v>
      </c>
    </row>
    <row r="10" spans="2:6" ht="15" customHeight="1" x14ac:dyDescent="0.2">
      <c r="B10" s="42" t="s">
        <v>225</v>
      </c>
      <c r="C10" s="137">
        <f>'Section 10 chart data'!D52</f>
        <v>1122.9359999999999</v>
      </c>
      <c r="D10" s="138">
        <f>'Section 10 chart data'!J52</f>
        <v>2956.4490000000001</v>
      </c>
      <c r="E10" s="900">
        <f>'Section 10 chart data'!K52</f>
        <v>5.0877422572868625</v>
      </c>
      <c r="F10" s="139">
        <f t="shared" si="0"/>
        <v>4079.3850000000002</v>
      </c>
    </row>
    <row r="11" spans="2:6" ht="15" customHeight="1" x14ac:dyDescent="0.2">
      <c r="B11" s="42" t="s">
        <v>226</v>
      </c>
      <c r="C11" s="137">
        <f>'Section 10 chart data'!D53</f>
        <v>1146.115</v>
      </c>
      <c r="D11" s="138">
        <f>'Section 10 chart data'!J53</f>
        <v>3052.6990000000001</v>
      </c>
      <c r="E11" s="900">
        <f>'Section 10 chart data'!K53</f>
        <v>5.1812754658331821</v>
      </c>
      <c r="F11" s="139">
        <f t="shared" si="0"/>
        <v>4198.8140000000003</v>
      </c>
    </row>
    <row r="12" spans="2:6" ht="15" customHeight="1" x14ac:dyDescent="0.2">
      <c r="B12" s="42" t="s">
        <v>227</v>
      </c>
      <c r="C12" s="137">
        <f>'Section 10 chart data'!D54</f>
        <v>1094.79</v>
      </c>
      <c r="D12" s="138">
        <f>'Section 10 chart data'!J54</f>
        <v>2910.4050000000002</v>
      </c>
      <c r="E12" s="900">
        <f>'Section 10 chart data'!K54</f>
        <v>5.8810833804531484</v>
      </c>
      <c r="F12" s="139">
        <f t="shared" si="0"/>
        <v>4005.1950000000002</v>
      </c>
    </row>
    <row r="13" spans="2:6" ht="15" customHeight="1" x14ac:dyDescent="0.2">
      <c r="B13" s="42" t="s">
        <v>228</v>
      </c>
      <c r="C13" s="137">
        <f>'Section 10 chart data'!D55</f>
        <v>1100.3589999999999</v>
      </c>
      <c r="D13" s="138">
        <f>'Section 10 chart data'!J55</f>
        <v>2272.7440000000001</v>
      </c>
      <c r="E13" s="900">
        <f>'Section 10 chart data'!K55</f>
        <v>6.3794291254089313</v>
      </c>
      <c r="F13" s="139">
        <f t="shared" si="0"/>
        <v>3373.1030000000001</v>
      </c>
    </row>
    <row r="14" spans="2:6" ht="15" customHeight="1" x14ac:dyDescent="0.2">
      <c r="B14" s="42" t="s">
        <v>333</v>
      </c>
      <c r="C14" s="137">
        <f>'Section 10 chart data'!D56</f>
        <v>1120.8820000000001</v>
      </c>
      <c r="D14" s="138">
        <f>'Section 10 chart data'!J56</f>
        <v>1864.1179999999999</v>
      </c>
      <c r="E14" s="900">
        <f>'Section 10 chart data'!K56</f>
        <v>6.0087275633713189</v>
      </c>
      <c r="F14" s="139">
        <f t="shared" si="0"/>
        <v>2985</v>
      </c>
    </row>
    <row r="15" spans="2:6" ht="15" customHeight="1" x14ac:dyDescent="0.2">
      <c r="B15" s="42" t="s">
        <v>334</v>
      </c>
      <c r="C15" s="137">
        <f>'Section 10 chart data'!D57</f>
        <v>1071.3799999999999</v>
      </c>
      <c r="D15" s="138">
        <f>'Section 10 chart data'!J57</f>
        <v>1537.9449999999999</v>
      </c>
      <c r="E15" s="900">
        <f>'Section 10 chart data'!K57</f>
        <v>5.3753890135659841</v>
      </c>
      <c r="F15" s="139">
        <f t="shared" si="0"/>
        <v>2609.3249999999998</v>
      </c>
    </row>
    <row r="16" spans="2:6" ht="15" customHeight="1" x14ac:dyDescent="0.2">
      <c r="B16" s="42" t="s">
        <v>231</v>
      </c>
      <c r="C16" s="137">
        <f>'Section 10 chart data'!D58</f>
        <v>903.8119999999999</v>
      </c>
      <c r="D16" s="138">
        <f>'Section 10 chart data'!J58</f>
        <v>1437.366</v>
      </c>
      <c r="E16" s="900">
        <f>'Section 10 chart data'!K58</f>
        <v>5.6549002041536838</v>
      </c>
      <c r="F16" s="139">
        <f t="shared" si="0"/>
        <v>2341.1779999999999</v>
      </c>
    </row>
    <row r="17" spans="2:6" ht="15" customHeight="1" x14ac:dyDescent="0.2">
      <c r="B17" s="46" t="s">
        <v>232</v>
      </c>
      <c r="C17" s="137">
        <f>'Section 10 chart data'!D59</f>
        <v>1425.9059999999999</v>
      </c>
      <c r="D17" s="138">
        <f>'Section 10 chart data'!J59</f>
        <v>1622.8710000000001</v>
      </c>
      <c r="E17" s="900">
        <f>'Section 10 chart data'!K59</f>
        <v>5.9226321723649189</v>
      </c>
      <c r="F17" s="139">
        <f t="shared" si="0"/>
        <v>3048.777</v>
      </c>
    </row>
    <row r="18" spans="2:6" ht="15" customHeight="1" x14ac:dyDescent="0.2">
      <c r="B18" s="46" t="s">
        <v>233</v>
      </c>
      <c r="C18" s="137">
        <f>'Section 10 chart data'!D60</f>
        <v>868.93399999999997</v>
      </c>
      <c r="D18" s="138">
        <f>'Section 10 chart data'!J60</f>
        <v>1370.6420000000001</v>
      </c>
      <c r="E18" s="900">
        <f>'Section 10 chart data'!K60</f>
        <v>5.9733356391400863</v>
      </c>
      <c r="F18" s="140">
        <f>SUM(C18,D18)</f>
        <v>2239.576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6AF0C4B-A212-4D89-8F59-FC52E443FD27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D2B0876D-A0EF-4161-9B98-1D8DF2DF0ED3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8" tint="0.59999389629810485"/>
  </sheetPr>
  <dimension ref="B3:AI107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423</v>
      </c>
      <c r="C3" t="s">
        <v>490</v>
      </c>
    </row>
    <row r="5" spans="2:35" ht="15" customHeight="1" x14ac:dyDescent="0.2">
      <c r="B5" s="1087" t="s">
        <v>77</v>
      </c>
      <c r="C5" s="1089" t="s">
        <v>332</v>
      </c>
      <c r="D5" s="1089"/>
      <c r="E5" s="1089"/>
      <c r="F5" s="1089" t="s">
        <v>222</v>
      </c>
      <c r="G5" s="1089"/>
      <c r="H5" s="1089"/>
      <c r="I5" s="1018" t="s">
        <v>225</v>
      </c>
      <c r="J5" s="1019"/>
      <c r="K5" s="1021"/>
      <c r="L5" s="1018" t="s">
        <v>226</v>
      </c>
      <c r="M5" s="1019"/>
      <c r="N5" s="1021"/>
      <c r="O5" s="1018" t="s">
        <v>227</v>
      </c>
      <c r="P5" s="1019"/>
      <c r="Q5" s="1021"/>
      <c r="R5" s="1018" t="s">
        <v>228</v>
      </c>
      <c r="S5" s="1019"/>
      <c r="T5" s="1021"/>
      <c r="U5" s="1018" t="s">
        <v>333</v>
      </c>
      <c r="V5" s="1019"/>
      <c r="W5" s="1021"/>
      <c r="X5" s="1018" t="s">
        <v>334</v>
      </c>
      <c r="Y5" s="1019"/>
      <c r="Z5" s="1021"/>
      <c r="AA5" s="1018" t="s">
        <v>231</v>
      </c>
      <c r="AB5" s="1019"/>
      <c r="AC5" s="1021"/>
      <c r="AD5" s="1018" t="s">
        <v>232</v>
      </c>
      <c r="AE5" s="1019"/>
      <c r="AF5" s="1021"/>
      <c r="AG5" s="1018" t="s">
        <v>233</v>
      </c>
      <c r="AH5" s="1019"/>
      <c r="AI5" s="1019"/>
    </row>
    <row r="6" spans="2:35" ht="15" customHeight="1" x14ac:dyDescent="0.2">
      <c r="B6" s="1113"/>
      <c r="C6" s="129" t="s">
        <v>78</v>
      </c>
      <c r="D6" s="1091" t="s">
        <v>79</v>
      </c>
      <c r="E6" s="1091"/>
      <c r="F6" s="129" t="s">
        <v>78</v>
      </c>
      <c r="G6" s="1091" t="s">
        <v>79</v>
      </c>
      <c r="H6" s="1091"/>
      <c r="I6" s="129" t="s">
        <v>78</v>
      </c>
      <c r="J6" s="1013" t="s">
        <v>79</v>
      </c>
      <c r="K6" s="1020"/>
      <c r="L6" s="129" t="s">
        <v>78</v>
      </c>
      <c r="M6" s="1013" t="s">
        <v>79</v>
      </c>
      <c r="N6" s="1020"/>
      <c r="O6" s="129" t="s">
        <v>78</v>
      </c>
      <c r="P6" s="1013" t="s">
        <v>79</v>
      </c>
      <c r="Q6" s="1020"/>
      <c r="R6" s="129" t="s">
        <v>78</v>
      </c>
      <c r="S6" s="1013" t="s">
        <v>79</v>
      </c>
      <c r="T6" s="1020"/>
      <c r="U6" s="129" t="s">
        <v>78</v>
      </c>
      <c r="V6" s="1013" t="s">
        <v>79</v>
      </c>
      <c r="W6" s="1020"/>
      <c r="X6" s="129" t="s">
        <v>78</v>
      </c>
      <c r="Y6" s="1013" t="s">
        <v>79</v>
      </c>
      <c r="Z6" s="1020"/>
      <c r="AA6" s="129" t="s">
        <v>78</v>
      </c>
      <c r="AB6" s="1013" t="s">
        <v>79</v>
      </c>
      <c r="AC6" s="1020"/>
      <c r="AD6" s="129" t="s">
        <v>78</v>
      </c>
      <c r="AE6" s="1013" t="s">
        <v>79</v>
      </c>
      <c r="AF6" s="1020"/>
      <c r="AG6" s="129" t="s">
        <v>78</v>
      </c>
      <c r="AH6" s="1013" t="s">
        <v>79</v>
      </c>
      <c r="AI6" s="1014"/>
    </row>
    <row r="7" spans="2:35" ht="30" customHeight="1" x14ac:dyDescent="0.2">
      <c r="B7" s="1113"/>
      <c r="C7" s="1090" t="s">
        <v>326</v>
      </c>
      <c r="D7" s="1090"/>
      <c r="E7" s="130" t="s">
        <v>82</v>
      </c>
      <c r="F7" s="1090" t="s">
        <v>326</v>
      </c>
      <c r="G7" s="1090"/>
      <c r="H7" s="130" t="s">
        <v>82</v>
      </c>
      <c r="I7" s="1111" t="s">
        <v>326</v>
      </c>
      <c r="J7" s="1112"/>
      <c r="K7" s="130" t="s">
        <v>82</v>
      </c>
      <c r="L7" s="1111" t="s">
        <v>326</v>
      </c>
      <c r="M7" s="1112"/>
      <c r="N7" s="130" t="s">
        <v>82</v>
      </c>
      <c r="O7" s="1111" t="s">
        <v>326</v>
      </c>
      <c r="P7" s="1112"/>
      <c r="Q7" s="130" t="s">
        <v>82</v>
      </c>
      <c r="R7" s="1111" t="s">
        <v>326</v>
      </c>
      <c r="S7" s="1112"/>
      <c r="T7" s="130" t="s">
        <v>82</v>
      </c>
      <c r="U7" s="1111" t="s">
        <v>326</v>
      </c>
      <c r="V7" s="1112"/>
      <c r="W7" s="130" t="s">
        <v>82</v>
      </c>
      <c r="X7" s="1111" t="s">
        <v>326</v>
      </c>
      <c r="Y7" s="1112"/>
      <c r="Z7" s="130" t="s">
        <v>82</v>
      </c>
      <c r="AA7" s="1111" t="s">
        <v>326</v>
      </c>
      <c r="AB7" s="1112"/>
      <c r="AC7" s="130" t="s">
        <v>82</v>
      </c>
      <c r="AD7" s="1111" t="s">
        <v>326</v>
      </c>
      <c r="AE7" s="1112"/>
      <c r="AF7" s="130" t="s">
        <v>82</v>
      </c>
      <c r="AG7" s="1111" t="s">
        <v>326</v>
      </c>
      <c r="AH7" s="1112"/>
      <c r="AI7" s="131" t="s">
        <v>82</v>
      </c>
    </row>
    <row r="8" spans="2:35" ht="15" customHeight="1" x14ac:dyDescent="0.2">
      <c r="B8" s="144" t="str">
        <f>Index!$B$4</f>
        <v>England</v>
      </c>
      <c r="C8" s="134"/>
      <c r="D8" s="134"/>
      <c r="E8" s="135"/>
      <c r="F8" s="134"/>
      <c r="G8" s="134"/>
      <c r="H8" s="135"/>
      <c r="I8" s="134"/>
      <c r="J8" s="134"/>
      <c r="K8" s="135"/>
      <c r="L8" s="134"/>
      <c r="M8" s="134"/>
      <c r="N8" s="135"/>
      <c r="O8" s="134"/>
      <c r="P8" s="134"/>
      <c r="Q8" s="135"/>
      <c r="R8" s="134"/>
      <c r="S8" s="134"/>
      <c r="T8" s="135"/>
      <c r="U8" s="134"/>
      <c r="V8" s="134"/>
      <c r="W8" s="135"/>
      <c r="X8" s="134"/>
      <c r="Y8" s="134"/>
      <c r="Z8" s="135"/>
      <c r="AA8" s="134"/>
      <c r="AB8" s="134"/>
      <c r="AC8" s="135"/>
      <c r="AD8" s="134"/>
      <c r="AE8" s="134"/>
      <c r="AF8" s="135"/>
      <c r="AG8" s="134"/>
      <c r="AH8" s="134"/>
      <c r="AI8" s="135"/>
    </row>
    <row r="9" spans="2:35" ht="15" customHeight="1" x14ac:dyDescent="0.2">
      <c r="B9" s="132" t="s">
        <v>92</v>
      </c>
      <c r="C9" s="327">
        <f>'Eng Table 49'!C9</f>
        <v>1357.6379999999999</v>
      </c>
      <c r="D9" s="327">
        <f>'Eng Table 49'!D9</f>
        <v>2957.9369999999999</v>
      </c>
      <c r="E9" s="904">
        <f>'Eng Table 49'!E9</f>
        <v>4.9175326735365372</v>
      </c>
      <c r="F9" s="327">
        <f>'Eng Table 49'!F9</f>
        <v>1151.4490000000001</v>
      </c>
      <c r="G9" s="327">
        <f>'Eng Table 49'!G9</f>
        <v>3264.904</v>
      </c>
      <c r="H9" s="904">
        <f>'Eng Table 49'!H9</f>
        <v>4.7723267050589984</v>
      </c>
      <c r="I9" s="327">
        <f>'Eng Table 49'!I9</f>
        <v>1122.9359999999999</v>
      </c>
      <c r="J9" s="327">
        <f>'Eng Table 49'!J9</f>
        <v>2956.4490000000001</v>
      </c>
      <c r="K9" s="904">
        <f>'Eng Table 49'!K9</f>
        <v>5.0877422572868625</v>
      </c>
      <c r="L9" s="327">
        <f>'Eng Table 49'!L9</f>
        <v>1146.115</v>
      </c>
      <c r="M9" s="327">
        <f>'Eng Table 49'!M9</f>
        <v>3052.6990000000001</v>
      </c>
      <c r="N9" s="904">
        <f>'Eng Table 49'!N9</f>
        <v>5.1812754658331821</v>
      </c>
      <c r="O9" s="327">
        <f>'Eng Table 49'!O9</f>
        <v>1094.79</v>
      </c>
      <c r="P9" s="327">
        <f>'Eng Table 49'!P9</f>
        <v>2910.4050000000002</v>
      </c>
      <c r="Q9" s="904">
        <f>'Eng Table 49'!Q9</f>
        <v>5.8810833804531484</v>
      </c>
      <c r="R9" s="327">
        <f>'Eng Table 49'!R9</f>
        <v>1100.3589999999999</v>
      </c>
      <c r="S9" s="327">
        <f>'Eng Table 49'!S9</f>
        <v>2272.7440000000001</v>
      </c>
      <c r="T9" s="904">
        <f>'Eng Table 49'!T9</f>
        <v>6.3794291254089313</v>
      </c>
      <c r="U9" s="327">
        <v>1120.8820000000001</v>
      </c>
      <c r="V9" s="327">
        <v>1864.1179999999999</v>
      </c>
      <c r="W9" s="904">
        <v>6.0087275633713189</v>
      </c>
      <c r="X9" s="327">
        <v>1071.3799999999999</v>
      </c>
      <c r="Y9" s="327">
        <v>1537.9449999999999</v>
      </c>
      <c r="Z9" s="904">
        <v>5.3753890135659841</v>
      </c>
      <c r="AA9" s="327">
        <v>903.8119999999999</v>
      </c>
      <c r="AB9" s="327">
        <v>1437.366</v>
      </c>
      <c r="AC9" s="904">
        <v>5.6549002041536838</v>
      </c>
      <c r="AD9" s="327">
        <v>1425.9059999999999</v>
      </c>
      <c r="AE9" s="327">
        <v>1622.8710000000001</v>
      </c>
      <c r="AF9" s="904">
        <v>5.9226321723649189</v>
      </c>
      <c r="AG9" s="327">
        <v>868.93399999999997</v>
      </c>
      <c r="AH9" s="327">
        <v>1370.6420000000001</v>
      </c>
      <c r="AI9" s="907">
        <v>5.9733356391400863</v>
      </c>
    </row>
    <row r="10" spans="2:35" ht="15" customHeight="1" x14ac:dyDescent="0.2">
      <c r="B10" s="161" t="s">
        <v>84</v>
      </c>
      <c r="C10" s="328">
        <f>'Eng Table 49'!C10</f>
        <v>634.81399999999996</v>
      </c>
      <c r="D10" s="328">
        <f>'Eng Table 49'!D10</f>
        <v>465.49599999999998</v>
      </c>
      <c r="E10" s="905">
        <f>'Eng Table 49'!E10</f>
        <v>17.598623742541811</v>
      </c>
      <c r="F10" s="328">
        <f>'Eng Table 49'!F10</f>
        <v>490.27799999999996</v>
      </c>
      <c r="G10" s="328">
        <f>'Eng Table 49'!G10</f>
        <v>696.39300000000003</v>
      </c>
      <c r="H10" s="905">
        <f>'Eng Table 49'!H10</f>
        <v>15.826452689960773</v>
      </c>
      <c r="I10" s="328">
        <f>'Eng Table 49'!I10</f>
        <v>478.76400000000007</v>
      </c>
      <c r="J10" s="328">
        <f>'Eng Table 49'!J10</f>
        <v>683.83799999999997</v>
      </c>
      <c r="K10" s="905">
        <f>'Eng Table 49'!K10</f>
        <v>14.482532261827592</v>
      </c>
      <c r="L10" s="328">
        <f>'Eng Table 49'!L10</f>
        <v>495.99900000000002</v>
      </c>
      <c r="M10" s="328">
        <f>'Eng Table 49'!M10</f>
        <v>656.79700000000003</v>
      </c>
      <c r="N10" s="905">
        <f>'Eng Table 49'!N10</f>
        <v>16.201803482928508</v>
      </c>
      <c r="O10" s="328">
        <f>'Eng Table 49'!O10</f>
        <v>458.39300000000003</v>
      </c>
      <c r="P10" s="328">
        <f>'Eng Table 49'!P10</f>
        <v>697.48900000000003</v>
      </c>
      <c r="Q10" s="905">
        <f>'Eng Table 49'!Q10</f>
        <v>17.720415264244306</v>
      </c>
      <c r="R10" s="328">
        <f>'Eng Table 49'!R10</f>
        <v>433.029</v>
      </c>
      <c r="S10" s="328">
        <f>'Eng Table 49'!S10</f>
        <v>474.54899999999998</v>
      </c>
      <c r="T10" s="905">
        <f>'Eng Table 49'!T10</f>
        <v>18.726785014799798</v>
      </c>
      <c r="U10" s="328">
        <v>456.46199999999999</v>
      </c>
      <c r="V10" s="328">
        <v>347.95499999999998</v>
      </c>
      <c r="W10" s="905">
        <v>16.46248781707121</v>
      </c>
      <c r="X10" s="328">
        <v>457.69300000000004</v>
      </c>
      <c r="Y10" s="328">
        <v>267.67399999999998</v>
      </c>
      <c r="Z10" s="905">
        <v>10.013703869788577</v>
      </c>
      <c r="AA10" s="328">
        <v>370.92600000000004</v>
      </c>
      <c r="AB10" s="328">
        <v>303.541</v>
      </c>
      <c r="AC10" s="905">
        <v>10.750131391541743</v>
      </c>
      <c r="AD10" s="328">
        <v>656.6690000000001</v>
      </c>
      <c r="AE10" s="328">
        <v>450.29700000000003</v>
      </c>
      <c r="AF10" s="905">
        <v>15.820005905424264</v>
      </c>
      <c r="AG10" s="328">
        <v>284.83499999999998</v>
      </c>
      <c r="AH10" s="328">
        <v>425.92899999999997</v>
      </c>
      <c r="AI10" s="908">
        <v>15.690062048863334</v>
      </c>
    </row>
    <row r="11" spans="2:35" ht="15" customHeight="1" x14ac:dyDescent="0.2">
      <c r="B11" s="161" t="s">
        <v>85</v>
      </c>
      <c r="C11" s="328">
        <f>'Eng Table 49'!C11</f>
        <v>128.60199999999998</v>
      </c>
      <c r="D11" s="328">
        <f>'Eng Table 49'!D11</f>
        <v>510.495</v>
      </c>
      <c r="E11" s="905">
        <f>'Eng Table 49'!E11</f>
        <v>10.364287533479445</v>
      </c>
      <c r="F11" s="328">
        <f>'Eng Table 49'!F11</f>
        <v>122.55900000000001</v>
      </c>
      <c r="G11" s="328">
        <f>'Eng Table 49'!G11</f>
        <v>527.47500000000002</v>
      </c>
      <c r="H11" s="905">
        <f>'Eng Table 49'!H11</f>
        <v>9.0663069069945497</v>
      </c>
      <c r="I11" s="328">
        <f>'Eng Table 49'!I11</f>
        <v>123.711</v>
      </c>
      <c r="J11" s="328">
        <f>'Eng Table 49'!J11</f>
        <v>631.98099999999999</v>
      </c>
      <c r="K11" s="905">
        <f>'Eng Table 49'!K11</f>
        <v>9.7934174236422553</v>
      </c>
      <c r="L11" s="328">
        <f>'Eng Table 49'!L11</f>
        <v>114.34599999999999</v>
      </c>
      <c r="M11" s="328">
        <f>'Eng Table 49'!M11</f>
        <v>901.94399999999996</v>
      </c>
      <c r="N11" s="905">
        <f>'Eng Table 49'!N11</f>
        <v>10.119498119950567</v>
      </c>
      <c r="O11" s="328">
        <f>'Eng Table 49'!O11</f>
        <v>96.797000000000011</v>
      </c>
      <c r="P11" s="328">
        <f>'Eng Table 49'!P11</f>
        <v>832.30399999999997</v>
      </c>
      <c r="Q11" s="905">
        <f>'Eng Table 49'!Q11</f>
        <v>9.6423204712133046</v>
      </c>
      <c r="R11" s="328">
        <f>'Eng Table 49'!R11</f>
        <v>94.827999999999989</v>
      </c>
      <c r="S11" s="328">
        <f>'Eng Table 49'!S11</f>
        <v>777.92</v>
      </c>
      <c r="T11" s="905">
        <f>'Eng Table 49'!T11</f>
        <v>11.821284502945733</v>
      </c>
      <c r="U11" s="328">
        <v>93.313000000000002</v>
      </c>
      <c r="V11" s="328">
        <v>482.065</v>
      </c>
      <c r="W11" s="905">
        <v>12.824344512241877</v>
      </c>
      <c r="X11" s="328">
        <v>99.399999999999991</v>
      </c>
      <c r="Y11" s="328">
        <v>471.15699999999998</v>
      </c>
      <c r="Z11" s="905">
        <v>12.284665389125159</v>
      </c>
      <c r="AA11" s="328">
        <v>93.757999999999996</v>
      </c>
      <c r="AB11" s="328">
        <v>306.33199999999999</v>
      </c>
      <c r="AC11" s="905">
        <v>11.467687252761994</v>
      </c>
      <c r="AD11" s="328">
        <v>167.32299999999998</v>
      </c>
      <c r="AE11" s="328">
        <v>359.59100000000001</v>
      </c>
      <c r="AF11" s="905">
        <v>11.789978933148436</v>
      </c>
      <c r="AG11" s="328">
        <v>113.131</v>
      </c>
      <c r="AH11" s="328">
        <v>272.41899999999998</v>
      </c>
      <c r="AI11" s="908">
        <v>10.904126328268001</v>
      </c>
    </row>
    <row r="12" spans="2:35" ht="15" customHeight="1" x14ac:dyDescent="0.2">
      <c r="B12" s="161" t="s">
        <v>86</v>
      </c>
      <c r="C12" s="328">
        <f>'Eng Table 49'!C12</f>
        <v>266.51900000000001</v>
      </c>
      <c r="D12" s="328">
        <f>'Eng Table 49'!D12</f>
        <v>318.25599999999997</v>
      </c>
      <c r="E12" s="905">
        <f>'Eng Table 49'!E12</f>
        <v>15.431658646206015</v>
      </c>
      <c r="F12" s="328">
        <f>'Eng Table 49'!F12</f>
        <v>256.41499999999996</v>
      </c>
      <c r="G12" s="328">
        <f>'Eng Table 49'!G12</f>
        <v>315.33</v>
      </c>
      <c r="H12" s="905">
        <f>'Eng Table 49'!H12</f>
        <v>15.073383381731828</v>
      </c>
      <c r="I12" s="328">
        <f>'Eng Table 49'!I12</f>
        <v>261.47700000000003</v>
      </c>
      <c r="J12" s="328">
        <f>'Eng Table 49'!J12</f>
        <v>244.32499999999999</v>
      </c>
      <c r="K12" s="905">
        <f>'Eng Table 49'!K12</f>
        <v>19.694426010432473</v>
      </c>
      <c r="L12" s="328">
        <f>'Eng Table 49'!L12</f>
        <v>255.84699999999992</v>
      </c>
      <c r="M12" s="328">
        <f>'Eng Table 49'!M12</f>
        <v>192.161</v>
      </c>
      <c r="N12" s="905">
        <f>'Eng Table 49'!N12</f>
        <v>22.213391207982284</v>
      </c>
      <c r="O12" s="328">
        <f>'Eng Table 49'!O12</f>
        <v>274.34600000000006</v>
      </c>
      <c r="P12" s="328">
        <f>'Eng Table 49'!P12</f>
        <v>146.18299999999999</v>
      </c>
      <c r="Q12" s="905">
        <f>'Eng Table 49'!Q12</f>
        <v>28.133280613360093</v>
      </c>
      <c r="R12" s="328">
        <f>'Eng Table 49'!R12</f>
        <v>262.63900000000007</v>
      </c>
      <c r="S12" s="328">
        <f>'Eng Table 49'!S12</f>
        <v>109.232</v>
      </c>
      <c r="T12" s="905">
        <f>'Eng Table 49'!T12</f>
        <v>28.396266231829777</v>
      </c>
      <c r="U12" s="328">
        <v>225.339</v>
      </c>
      <c r="V12" s="328">
        <v>77.539000000000001</v>
      </c>
      <c r="W12" s="905">
        <v>26.353714592442667</v>
      </c>
      <c r="X12" s="328">
        <v>194.38</v>
      </c>
      <c r="Y12" s="328">
        <v>37.014000000000003</v>
      </c>
      <c r="Z12" s="905">
        <v>35.522841629710427</v>
      </c>
      <c r="AA12" s="328">
        <v>130.61600000000001</v>
      </c>
      <c r="AB12" s="328">
        <v>51.881999999999998</v>
      </c>
      <c r="AC12" s="905">
        <v>41.759499753950998</v>
      </c>
      <c r="AD12" s="328">
        <v>122.66499999999999</v>
      </c>
      <c r="AE12" s="328">
        <v>51.633000000000003</v>
      </c>
      <c r="AF12" s="905">
        <v>57.883511256598069</v>
      </c>
      <c r="AG12" s="328">
        <v>73.966000000000008</v>
      </c>
      <c r="AH12" s="328">
        <v>10.742000000000001</v>
      </c>
      <c r="AI12" s="908">
        <v>29.615710626204688</v>
      </c>
    </row>
    <row r="13" spans="2:35" ht="15" customHeight="1" x14ac:dyDescent="0.2">
      <c r="B13" s="161" t="s">
        <v>87</v>
      </c>
      <c r="C13" s="328">
        <f>'Eng Table 49'!C13</f>
        <v>113.26499999999999</v>
      </c>
      <c r="D13" s="328">
        <f>'Eng Table 49'!D13</f>
        <v>265.70499999999998</v>
      </c>
      <c r="E13" s="905">
        <f>'Eng Table 49'!E13</f>
        <v>12.178852387803255</v>
      </c>
      <c r="F13" s="328">
        <f>'Eng Table 49'!F13</f>
        <v>66.272000000000006</v>
      </c>
      <c r="G13" s="328">
        <f>'Eng Table 49'!G13</f>
        <v>331.15100000000001</v>
      </c>
      <c r="H13" s="905">
        <f>'Eng Table 49'!H13</f>
        <v>16.271291083830963</v>
      </c>
      <c r="I13" s="328">
        <f>'Eng Table 49'!I13</f>
        <v>43.760000000000005</v>
      </c>
      <c r="J13" s="328">
        <f>'Eng Table 49'!J13</f>
        <v>386.05700000000002</v>
      </c>
      <c r="K13" s="905">
        <f>'Eng Table 49'!K13</f>
        <v>18.318358828476192</v>
      </c>
      <c r="L13" s="328">
        <f>'Eng Table 49'!L13</f>
        <v>50.881999999999998</v>
      </c>
      <c r="M13" s="328">
        <f>'Eng Table 49'!M13</f>
        <v>446.20100000000002</v>
      </c>
      <c r="N13" s="905">
        <f>'Eng Table 49'!N13</f>
        <v>12.279285838046167</v>
      </c>
      <c r="O13" s="328">
        <f>'Eng Table 49'!O13</f>
        <v>35.426000000000002</v>
      </c>
      <c r="P13" s="328">
        <f>'Eng Table 49'!P13</f>
        <v>454.197</v>
      </c>
      <c r="Q13" s="905">
        <f>'Eng Table 49'!Q13</f>
        <v>15.09956982649409</v>
      </c>
      <c r="R13" s="328">
        <f>'Eng Table 49'!R13</f>
        <v>55.984000000000002</v>
      </c>
      <c r="S13" s="328">
        <f>'Eng Table 49'!S13</f>
        <v>246.98</v>
      </c>
      <c r="T13" s="905">
        <f>'Eng Table 49'!T13</f>
        <v>13.27418321357456</v>
      </c>
      <c r="U13" s="328">
        <v>59.093000000000011</v>
      </c>
      <c r="V13" s="328">
        <v>380.43400000000003</v>
      </c>
      <c r="W13" s="905">
        <v>14.878526094320064</v>
      </c>
      <c r="X13" s="328">
        <v>58.812999999999995</v>
      </c>
      <c r="Y13" s="328">
        <v>251.149</v>
      </c>
      <c r="Z13" s="905">
        <v>16.289820388137464</v>
      </c>
      <c r="AA13" s="328">
        <v>58.156000000000006</v>
      </c>
      <c r="AB13" s="328">
        <v>265.22199999999998</v>
      </c>
      <c r="AC13" s="905">
        <v>21.265667505433736</v>
      </c>
      <c r="AD13" s="328">
        <v>123.48</v>
      </c>
      <c r="AE13" s="328">
        <v>187.14500000000001</v>
      </c>
      <c r="AF13" s="905">
        <v>15.701934025016959</v>
      </c>
      <c r="AG13" s="328">
        <v>62.459000000000003</v>
      </c>
      <c r="AH13" s="328">
        <v>153.57</v>
      </c>
      <c r="AI13" s="908">
        <v>14.353929386400809</v>
      </c>
    </row>
    <row r="14" spans="2:35" ht="15" customHeight="1" x14ac:dyDescent="0.2">
      <c r="B14" s="161" t="s">
        <v>88</v>
      </c>
      <c r="C14" s="328">
        <f>'Eng Table 49'!C14</f>
        <v>55.625</v>
      </c>
      <c r="D14" s="328">
        <f>'Eng Table 49'!D14</f>
        <v>553.47799999999995</v>
      </c>
      <c r="E14" s="905">
        <f>'Eng Table 49'!E14</f>
        <v>7.6051041942715418</v>
      </c>
      <c r="F14" s="328">
        <f>'Eng Table 49'!F14</f>
        <v>62.436</v>
      </c>
      <c r="G14" s="328">
        <f>'Eng Table 49'!G14</f>
        <v>592.05899999999997</v>
      </c>
      <c r="H14" s="905">
        <f>'Eng Table 49'!H14</f>
        <v>7.2305200131131233</v>
      </c>
      <c r="I14" s="328">
        <f>'Eng Table 49'!I14</f>
        <v>67.867000000000004</v>
      </c>
      <c r="J14" s="328">
        <f>'Eng Table 49'!J14</f>
        <v>409.83100000000002</v>
      </c>
      <c r="K14" s="905">
        <f>'Eng Table 49'!K14</f>
        <v>6.9469774109010869</v>
      </c>
      <c r="L14" s="328">
        <f>'Eng Table 49'!L14</f>
        <v>56.710999999999999</v>
      </c>
      <c r="M14" s="328">
        <f>'Eng Table 49'!M14</f>
        <v>326.31799999999998</v>
      </c>
      <c r="N14" s="905">
        <f>'Eng Table 49'!N14</f>
        <v>7.4437255329426257</v>
      </c>
      <c r="O14" s="328">
        <f>'Eng Table 49'!O14</f>
        <v>61.542999999999999</v>
      </c>
      <c r="P14" s="328">
        <f>'Eng Table 49'!P14</f>
        <v>306.90899999999999</v>
      </c>
      <c r="Q14" s="905">
        <f>'Eng Table 49'!Q14</f>
        <v>7.5604553872133815</v>
      </c>
      <c r="R14" s="328">
        <f>'Eng Table 49'!R14</f>
        <v>64.763000000000005</v>
      </c>
      <c r="S14" s="328">
        <f>'Eng Table 49'!S14</f>
        <v>189.46100000000001</v>
      </c>
      <c r="T14" s="905">
        <f>'Eng Table 49'!T14</f>
        <v>8.698584349301079</v>
      </c>
      <c r="U14" s="328">
        <v>87.286000000000001</v>
      </c>
      <c r="V14" s="328">
        <v>143.20500000000001</v>
      </c>
      <c r="W14" s="905">
        <v>8.2230354315680234</v>
      </c>
      <c r="X14" s="328">
        <v>67.685999999999993</v>
      </c>
      <c r="Y14" s="328">
        <v>152.24199999999999</v>
      </c>
      <c r="Z14" s="905">
        <v>8.763584240759176</v>
      </c>
      <c r="AA14" s="328">
        <v>51.921999999999997</v>
      </c>
      <c r="AB14" s="328">
        <v>135.81</v>
      </c>
      <c r="AC14" s="905">
        <v>8.0468077281636372</v>
      </c>
      <c r="AD14" s="328">
        <v>99.765000000000001</v>
      </c>
      <c r="AE14" s="328">
        <v>147.524</v>
      </c>
      <c r="AF14" s="905">
        <v>7.5291070238206323</v>
      </c>
      <c r="AG14" s="328">
        <v>41.011999999999993</v>
      </c>
      <c r="AH14" s="328">
        <v>70.951999999999998</v>
      </c>
      <c r="AI14" s="908">
        <v>6.3392452144264464</v>
      </c>
    </row>
    <row r="15" spans="2:35" ht="15" customHeight="1" x14ac:dyDescent="0.2">
      <c r="B15" s="161" t="s">
        <v>89</v>
      </c>
      <c r="C15" s="328">
        <f>'Eng Table 49'!C15</f>
        <v>63.181999999999995</v>
      </c>
      <c r="D15" s="328">
        <f>'Eng Table 49'!D15</f>
        <v>440.40899999999999</v>
      </c>
      <c r="E15" s="905">
        <f>'Eng Table 49'!E15</f>
        <v>15.958757842343976</v>
      </c>
      <c r="F15" s="328">
        <f>'Eng Table 49'!F15</f>
        <v>68.00200000000001</v>
      </c>
      <c r="G15" s="328">
        <f>'Eng Table 49'!G15</f>
        <v>361.161</v>
      </c>
      <c r="H15" s="905">
        <f>'Eng Table 49'!H15</f>
        <v>11.900226751858517</v>
      </c>
      <c r="I15" s="328">
        <f>'Eng Table 49'!I15</f>
        <v>74.453999999999994</v>
      </c>
      <c r="J15" s="328">
        <f>'Eng Table 49'!J15</f>
        <v>239.15899999999999</v>
      </c>
      <c r="K15" s="905">
        <f>'Eng Table 49'!K15</f>
        <v>13.842060509633942</v>
      </c>
      <c r="L15" s="328">
        <f>'Eng Table 49'!L15</f>
        <v>99.063000000000002</v>
      </c>
      <c r="M15" s="328">
        <f>'Eng Table 49'!M15</f>
        <v>197.251</v>
      </c>
      <c r="N15" s="905">
        <f>'Eng Table 49'!N15</f>
        <v>14.676268087239098</v>
      </c>
      <c r="O15" s="328">
        <f>'Eng Table 49'!O15</f>
        <v>114.209</v>
      </c>
      <c r="P15" s="328">
        <f>'Eng Table 49'!P15</f>
        <v>173.851</v>
      </c>
      <c r="Q15" s="905">
        <f>'Eng Table 49'!Q15</f>
        <v>13.593300838230569</v>
      </c>
      <c r="R15" s="328">
        <f>'Eng Table 49'!R15</f>
        <v>128.69800000000001</v>
      </c>
      <c r="S15" s="328">
        <f>'Eng Table 49'!S15</f>
        <v>163.316</v>
      </c>
      <c r="T15" s="905">
        <f>'Eng Table 49'!T15</f>
        <v>19.161044793600759</v>
      </c>
      <c r="U15" s="328">
        <v>134.15099999999998</v>
      </c>
      <c r="V15" s="328">
        <v>166.14599999999999</v>
      </c>
      <c r="W15" s="905">
        <v>13.303468497575171</v>
      </c>
      <c r="X15" s="328">
        <v>125.453</v>
      </c>
      <c r="Y15" s="328">
        <v>142.88999999999999</v>
      </c>
      <c r="Z15" s="905">
        <v>6.9606281933660918</v>
      </c>
      <c r="AA15" s="328">
        <v>127.724</v>
      </c>
      <c r="AB15" s="328">
        <v>172.10400000000001</v>
      </c>
      <c r="AC15" s="905">
        <v>10.55721714723245</v>
      </c>
      <c r="AD15" s="328">
        <v>145.53800000000001</v>
      </c>
      <c r="AE15" s="328">
        <v>194.58500000000001</v>
      </c>
      <c r="AF15" s="905">
        <v>8.9377459864158801</v>
      </c>
      <c r="AG15" s="328">
        <v>178.51799999999997</v>
      </c>
      <c r="AH15" s="328">
        <v>191.00899999999999</v>
      </c>
      <c r="AI15" s="908">
        <v>7.635833481979545</v>
      </c>
    </row>
    <row r="16" spans="2:35" ht="15" customHeight="1" x14ac:dyDescent="0.2">
      <c r="B16" s="161" t="s">
        <v>90</v>
      </c>
      <c r="C16" s="328">
        <f>'Eng Table 49'!C16</f>
        <v>50.473999999999997</v>
      </c>
      <c r="D16" s="328">
        <f>'Eng Table 49'!D16</f>
        <v>48.311999999999998</v>
      </c>
      <c r="E16" s="905">
        <f>'Eng Table 49'!E16</f>
        <v>40.64149091637443</v>
      </c>
      <c r="F16" s="328">
        <f>'Eng Table 49'!F16</f>
        <v>39.236999999999995</v>
      </c>
      <c r="G16" s="328">
        <f>'Eng Table 49'!G16</f>
        <v>36.706000000000003</v>
      </c>
      <c r="H16" s="905">
        <f>'Eng Table 49'!H16</f>
        <v>48.716809410195289</v>
      </c>
      <c r="I16" s="328">
        <f>'Eng Table 49'!I16</f>
        <v>34.271000000000001</v>
      </c>
      <c r="J16" s="328">
        <f>'Eng Table 49'!J16</f>
        <v>49.046999999999997</v>
      </c>
      <c r="K16" s="905">
        <f>'Eng Table 49'!K16</f>
        <v>37.133856755261817</v>
      </c>
      <c r="L16" s="328">
        <f>'Eng Table 49'!L16</f>
        <v>22.553000000000001</v>
      </c>
      <c r="M16" s="328">
        <f>'Eng Table 49'!M16</f>
        <v>40.027999999999999</v>
      </c>
      <c r="N16" s="905">
        <f>'Eng Table 49'!N16</f>
        <v>42.689795254575863</v>
      </c>
      <c r="O16" s="328">
        <f>'Eng Table 49'!O16</f>
        <v>16.981000000000002</v>
      </c>
      <c r="P16" s="328">
        <f>'Eng Table 49'!P16</f>
        <v>21.263999999999999</v>
      </c>
      <c r="Q16" s="905">
        <f>'Eng Table 49'!Q16</f>
        <v>50.672797117315056</v>
      </c>
      <c r="R16" s="328">
        <f>'Eng Table 49'!R16</f>
        <v>4.6109999999999998</v>
      </c>
      <c r="S16" s="328">
        <f>'Eng Table 49'!S16</f>
        <v>79.825999999999993</v>
      </c>
      <c r="T16" s="905">
        <f>'Eng Table 49'!T16</f>
        <v>42.390768401698281</v>
      </c>
      <c r="U16" s="328">
        <v>4.5609999999999991</v>
      </c>
      <c r="V16" s="328">
        <v>38.256</v>
      </c>
      <c r="W16" s="905">
        <v>43.335936860139476</v>
      </c>
      <c r="X16" s="328">
        <v>6.4719999999999995</v>
      </c>
      <c r="Y16" s="328">
        <v>7.3090000000000002</v>
      </c>
      <c r="Z16" s="905">
        <v>51.778538396913824</v>
      </c>
      <c r="AA16" s="328">
        <v>6.6949999999999994</v>
      </c>
      <c r="AB16" s="328">
        <v>6.4870000000000001</v>
      </c>
      <c r="AC16" s="905">
        <v>27.372559948637551</v>
      </c>
      <c r="AD16" s="328">
        <v>10.158000000000001</v>
      </c>
      <c r="AE16" s="328">
        <v>2.7970000000000002</v>
      </c>
      <c r="AF16" s="905">
        <v>31.555326850533259</v>
      </c>
      <c r="AG16" s="328">
        <v>6.2779999999999996</v>
      </c>
      <c r="AH16" s="328">
        <v>9.5239999999999991</v>
      </c>
      <c r="AI16" s="908">
        <v>57.936191472608854</v>
      </c>
    </row>
    <row r="17" spans="2:35" ht="15" customHeight="1" x14ac:dyDescent="0.2">
      <c r="B17" s="164" t="s">
        <v>91</v>
      </c>
      <c r="C17" s="329">
        <f>'Eng Table 49'!C17</f>
        <v>45.151000000000003</v>
      </c>
      <c r="D17" s="329">
        <f>'Eng Table 49'!D17</f>
        <v>353.048</v>
      </c>
      <c r="E17" s="906">
        <f>'Eng Table 49'!E17</f>
        <v>12.603577020127425</v>
      </c>
      <c r="F17" s="329">
        <f>'Eng Table 49'!F17</f>
        <v>46.250999999999998</v>
      </c>
      <c r="G17" s="329">
        <f>'Eng Table 49'!G17</f>
        <v>404.16800000000001</v>
      </c>
      <c r="H17" s="906">
        <f>'Eng Table 49'!H17</f>
        <v>12.363245693218294</v>
      </c>
      <c r="I17" s="329">
        <f>'Eng Table 49'!I17</f>
        <v>38.637</v>
      </c>
      <c r="J17" s="329">
        <f>'Eng Table 49'!J17</f>
        <v>306.024</v>
      </c>
      <c r="K17" s="906">
        <f>'Eng Table 49'!K17</f>
        <v>12.341730892854001</v>
      </c>
      <c r="L17" s="329">
        <f>'Eng Table 49'!L17</f>
        <v>50.713999999999999</v>
      </c>
      <c r="M17" s="329">
        <f>'Eng Table 49'!M17</f>
        <v>290.57799999999997</v>
      </c>
      <c r="N17" s="906">
        <f>'Eng Table 49'!N17</f>
        <v>12.341224500730885</v>
      </c>
      <c r="O17" s="329">
        <f>'Eng Table 49'!O17</f>
        <v>37.094999999999999</v>
      </c>
      <c r="P17" s="329">
        <f>'Eng Table 49'!P17</f>
        <v>271.84699999999998</v>
      </c>
      <c r="Q17" s="906">
        <f>'Eng Table 49'!Q17</f>
        <v>17.017862564145453</v>
      </c>
      <c r="R17" s="329">
        <f>'Eng Table 49'!R17</f>
        <v>55.804999999999993</v>
      </c>
      <c r="S17" s="329">
        <f>'Eng Table 49'!S17</f>
        <v>224.69800000000001</v>
      </c>
      <c r="T17" s="906">
        <f>'Eng Table 49'!T17</f>
        <v>18.296488297265853</v>
      </c>
      <c r="U17" s="329">
        <v>60.675000000000004</v>
      </c>
      <c r="V17" s="329">
        <v>224.14699999999999</v>
      </c>
      <c r="W17" s="906">
        <v>18.196479330030986</v>
      </c>
      <c r="X17" s="329">
        <v>60.675000000000004</v>
      </c>
      <c r="Y17" s="329">
        <v>206.684</v>
      </c>
      <c r="Z17" s="906">
        <v>10.12555634120657</v>
      </c>
      <c r="AA17" s="329">
        <v>61.487000000000002</v>
      </c>
      <c r="AB17" s="329">
        <v>194.84800000000001</v>
      </c>
      <c r="AC17" s="906">
        <v>8.1821975955458157</v>
      </c>
      <c r="AD17" s="329">
        <v>64.006999999999991</v>
      </c>
      <c r="AE17" s="329">
        <v>228.21100000000001</v>
      </c>
      <c r="AF17" s="906">
        <v>7.6364568072489245</v>
      </c>
      <c r="AG17" s="329">
        <v>109</v>
      </c>
      <c r="AH17" s="329">
        <v>234.74100000000001</v>
      </c>
      <c r="AI17" s="909">
        <v>5.4724037955429337</v>
      </c>
    </row>
    <row r="20" spans="2:35" ht="15" customHeight="1" x14ac:dyDescent="0.2">
      <c r="B20" s="1087" t="s">
        <v>77</v>
      </c>
      <c r="C20" s="1089" t="s">
        <v>332</v>
      </c>
      <c r="D20" s="1089"/>
      <c r="E20" s="1089"/>
      <c r="F20" s="1089" t="s">
        <v>222</v>
      </c>
      <c r="G20" s="1089"/>
      <c r="H20" s="1018"/>
    </row>
    <row r="21" spans="2:35" ht="15" customHeight="1" x14ac:dyDescent="0.2">
      <c r="B21" s="1113"/>
      <c r="C21" s="324" t="s">
        <v>78</v>
      </c>
      <c r="D21" s="1091" t="s">
        <v>79</v>
      </c>
      <c r="E21" s="1091"/>
      <c r="F21" s="324" t="s">
        <v>78</v>
      </c>
      <c r="G21" s="1091" t="s">
        <v>79</v>
      </c>
      <c r="H21" s="1013"/>
    </row>
    <row r="22" spans="2:35" ht="30" customHeight="1" x14ac:dyDescent="0.2">
      <c r="B22" s="1113"/>
      <c r="C22" s="1090" t="s">
        <v>326</v>
      </c>
      <c r="D22" s="1090"/>
      <c r="E22" s="130" t="s">
        <v>82</v>
      </c>
      <c r="F22" s="1090" t="s">
        <v>326</v>
      </c>
      <c r="G22" s="1090"/>
      <c r="H22" s="131" t="s">
        <v>82</v>
      </c>
    </row>
    <row r="23" spans="2:35" ht="15" customHeight="1" x14ac:dyDescent="0.2">
      <c r="B23" s="144" t="str">
        <f>Index!$B$4</f>
        <v>England</v>
      </c>
      <c r="C23" s="134"/>
      <c r="D23" s="134"/>
      <c r="E23" s="135"/>
      <c r="F23" s="134"/>
      <c r="G23" s="134"/>
      <c r="H23" s="135"/>
    </row>
    <row r="24" spans="2:35" ht="15" customHeight="1" x14ac:dyDescent="0.2">
      <c r="B24" s="132" t="s">
        <v>92</v>
      </c>
      <c r="C24" s="327">
        <v>1357.6379999999999</v>
      </c>
      <c r="D24" s="327">
        <v>2957.9369999999999</v>
      </c>
      <c r="E24" s="904">
        <v>4.9175326735365372</v>
      </c>
      <c r="F24" s="327">
        <v>1151.4490000000001</v>
      </c>
      <c r="G24" s="327">
        <v>3264.904</v>
      </c>
      <c r="H24" s="907">
        <v>4.7723267050589984</v>
      </c>
    </row>
    <row r="25" spans="2:35" ht="15" customHeight="1" x14ac:dyDescent="0.2">
      <c r="B25" s="161" t="s">
        <v>84</v>
      </c>
      <c r="C25" s="328">
        <v>634.81399999999996</v>
      </c>
      <c r="D25" s="328">
        <v>465.49599999999998</v>
      </c>
      <c r="E25" s="905">
        <v>17.598623742541811</v>
      </c>
      <c r="F25" s="328">
        <v>490.27799999999996</v>
      </c>
      <c r="G25" s="328">
        <v>696.39300000000003</v>
      </c>
      <c r="H25" s="908">
        <v>15.826452689960773</v>
      </c>
    </row>
    <row r="26" spans="2:35" ht="15" customHeight="1" x14ac:dyDescent="0.2">
      <c r="B26" s="161" t="s">
        <v>85</v>
      </c>
      <c r="C26" s="328">
        <v>128.60199999999998</v>
      </c>
      <c r="D26" s="328">
        <v>510.495</v>
      </c>
      <c r="E26" s="905">
        <v>10.364287533479445</v>
      </c>
      <c r="F26" s="328">
        <v>122.55900000000001</v>
      </c>
      <c r="G26" s="328">
        <v>527.47500000000002</v>
      </c>
      <c r="H26" s="908">
        <v>9.0663069069945497</v>
      </c>
    </row>
    <row r="27" spans="2:35" ht="15" customHeight="1" x14ac:dyDescent="0.2">
      <c r="B27" s="161" t="s">
        <v>86</v>
      </c>
      <c r="C27" s="328">
        <v>266.51900000000001</v>
      </c>
      <c r="D27" s="328">
        <v>318.25599999999997</v>
      </c>
      <c r="E27" s="905">
        <v>15.431658646206015</v>
      </c>
      <c r="F27" s="328">
        <v>256.41499999999996</v>
      </c>
      <c r="G27" s="328">
        <v>315.33</v>
      </c>
      <c r="H27" s="908">
        <v>15.073383381731828</v>
      </c>
    </row>
    <row r="28" spans="2:35" ht="15" customHeight="1" x14ac:dyDescent="0.2">
      <c r="B28" s="161" t="s">
        <v>87</v>
      </c>
      <c r="C28" s="328">
        <v>113.26499999999999</v>
      </c>
      <c r="D28" s="328">
        <v>265.70499999999998</v>
      </c>
      <c r="E28" s="905">
        <v>12.178852387803255</v>
      </c>
      <c r="F28" s="328">
        <v>66.272000000000006</v>
      </c>
      <c r="G28" s="328">
        <v>331.15100000000001</v>
      </c>
      <c r="H28" s="908">
        <v>16.271291083830963</v>
      </c>
    </row>
    <row r="29" spans="2:35" ht="15" customHeight="1" x14ac:dyDescent="0.2">
      <c r="B29" s="161" t="s">
        <v>88</v>
      </c>
      <c r="C29" s="328">
        <v>55.625</v>
      </c>
      <c r="D29" s="328">
        <v>553.47799999999995</v>
      </c>
      <c r="E29" s="905">
        <v>7.6051041942715418</v>
      </c>
      <c r="F29" s="328">
        <v>62.436</v>
      </c>
      <c r="G29" s="328">
        <v>592.05899999999997</v>
      </c>
      <c r="H29" s="908">
        <v>7.2305200131131233</v>
      </c>
    </row>
    <row r="30" spans="2:35" ht="15" customHeight="1" x14ac:dyDescent="0.2">
      <c r="B30" s="161" t="s">
        <v>89</v>
      </c>
      <c r="C30" s="328">
        <v>63.181999999999995</v>
      </c>
      <c r="D30" s="328">
        <v>440.40899999999999</v>
      </c>
      <c r="E30" s="905">
        <v>15.958757842343976</v>
      </c>
      <c r="F30" s="328">
        <v>68.00200000000001</v>
      </c>
      <c r="G30" s="328">
        <v>361.161</v>
      </c>
      <c r="H30" s="908">
        <v>11.900226751858517</v>
      </c>
    </row>
    <row r="31" spans="2:35" ht="15" customHeight="1" x14ac:dyDescent="0.2">
      <c r="B31" s="161" t="s">
        <v>90</v>
      </c>
      <c r="C31" s="328">
        <v>50.473999999999997</v>
      </c>
      <c r="D31" s="328">
        <v>48.311999999999998</v>
      </c>
      <c r="E31" s="905">
        <v>40.64149091637443</v>
      </c>
      <c r="F31" s="328">
        <v>39.236999999999995</v>
      </c>
      <c r="G31" s="328">
        <v>36.706000000000003</v>
      </c>
      <c r="H31" s="908">
        <v>48.716809410195289</v>
      </c>
    </row>
    <row r="32" spans="2:35" ht="15" customHeight="1" x14ac:dyDescent="0.2">
      <c r="B32" s="164" t="s">
        <v>91</v>
      </c>
      <c r="C32" s="329">
        <v>45.151000000000003</v>
      </c>
      <c r="D32" s="329">
        <v>353.048</v>
      </c>
      <c r="E32" s="906">
        <v>12.603577020127425</v>
      </c>
      <c r="F32" s="329">
        <v>46.250999999999998</v>
      </c>
      <c r="G32" s="329">
        <v>404.16800000000001</v>
      </c>
      <c r="H32" s="909">
        <v>12.363245693218294</v>
      </c>
    </row>
    <row r="35" spans="2:8" ht="15" customHeight="1" x14ac:dyDescent="0.2">
      <c r="B35" s="1087" t="s">
        <v>77</v>
      </c>
      <c r="C35" s="1089" t="s">
        <v>225</v>
      </c>
      <c r="D35" s="1089"/>
      <c r="E35" s="1089"/>
      <c r="F35" s="1089" t="s">
        <v>226</v>
      </c>
      <c r="G35" s="1089"/>
      <c r="H35" s="1018"/>
    </row>
    <row r="36" spans="2:8" ht="15" customHeight="1" x14ac:dyDescent="0.2">
      <c r="B36" s="1113"/>
      <c r="C36" s="324" t="s">
        <v>78</v>
      </c>
      <c r="D36" s="1091" t="s">
        <v>79</v>
      </c>
      <c r="E36" s="1091"/>
      <c r="F36" s="324" t="s">
        <v>78</v>
      </c>
      <c r="G36" s="1091" t="s">
        <v>79</v>
      </c>
      <c r="H36" s="1013"/>
    </row>
    <row r="37" spans="2:8" ht="30" customHeight="1" x14ac:dyDescent="0.2">
      <c r="B37" s="1113"/>
      <c r="C37" s="1090" t="s">
        <v>326</v>
      </c>
      <c r="D37" s="1090"/>
      <c r="E37" s="130" t="s">
        <v>82</v>
      </c>
      <c r="F37" s="1090" t="s">
        <v>326</v>
      </c>
      <c r="G37" s="1090"/>
      <c r="H37" s="131" t="s">
        <v>82</v>
      </c>
    </row>
    <row r="38" spans="2:8" ht="15" customHeight="1" x14ac:dyDescent="0.2">
      <c r="B38" s="144" t="str">
        <f>Index!$B$4</f>
        <v>England</v>
      </c>
      <c r="C38" s="134"/>
      <c r="D38" s="134"/>
      <c r="E38" s="135"/>
      <c r="F38" s="134"/>
      <c r="G38" s="134"/>
      <c r="H38" s="135"/>
    </row>
    <row r="39" spans="2:8" ht="15" customHeight="1" x14ac:dyDescent="0.2">
      <c r="B39" s="132" t="s">
        <v>92</v>
      </c>
      <c r="C39" s="327">
        <v>1122.9359999999999</v>
      </c>
      <c r="D39" s="327">
        <v>2956.4490000000001</v>
      </c>
      <c r="E39" s="904">
        <v>5.0877422572868625</v>
      </c>
      <c r="F39" s="327">
        <v>1146.115</v>
      </c>
      <c r="G39" s="327">
        <v>3052.6990000000001</v>
      </c>
      <c r="H39" s="907">
        <v>5.1812754658331821</v>
      </c>
    </row>
    <row r="40" spans="2:8" ht="15" customHeight="1" x14ac:dyDescent="0.2">
      <c r="B40" s="161" t="s">
        <v>84</v>
      </c>
      <c r="C40" s="328">
        <v>478.76400000000007</v>
      </c>
      <c r="D40" s="328">
        <v>683.83799999999997</v>
      </c>
      <c r="E40" s="905">
        <v>14.482532261827592</v>
      </c>
      <c r="F40" s="328">
        <v>495.99900000000002</v>
      </c>
      <c r="G40" s="328">
        <v>656.79700000000003</v>
      </c>
      <c r="H40" s="908">
        <v>16.201803482928508</v>
      </c>
    </row>
    <row r="41" spans="2:8" ht="15" customHeight="1" x14ac:dyDescent="0.2">
      <c r="B41" s="161" t="s">
        <v>85</v>
      </c>
      <c r="C41" s="328">
        <v>123.711</v>
      </c>
      <c r="D41" s="328">
        <v>631.98099999999999</v>
      </c>
      <c r="E41" s="905">
        <v>9.7934174236422553</v>
      </c>
      <c r="F41" s="328">
        <v>114.34599999999999</v>
      </c>
      <c r="G41" s="328">
        <v>901.94399999999996</v>
      </c>
      <c r="H41" s="908">
        <v>10.119498119950567</v>
      </c>
    </row>
    <row r="42" spans="2:8" ht="15" customHeight="1" x14ac:dyDescent="0.2">
      <c r="B42" s="161" t="s">
        <v>86</v>
      </c>
      <c r="C42" s="328">
        <v>261.47700000000003</v>
      </c>
      <c r="D42" s="328">
        <v>244.32499999999999</v>
      </c>
      <c r="E42" s="905">
        <v>19.694426010432473</v>
      </c>
      <c r="F42" s="328">
        <v>255.84699999999992</v>
      </c>
      <c r="G42" s="328">
        <v>192.161</v>
      </c>
      <c r="H42" s="908">
        <v>22.213391207982284</v>
      </c>
    </row>
    <row r="43" spans="2:8" ht="15" customHeight="1" x14ac:dyDescent="0.2">
      <c r="B43" s="161" t="s">
        <v>87</v>
      </c>
      <c r="C43" s="328">
        <v>43.760000000000005</v>
      </c>
      <c r="D43" s="328">
        <v>386.05700000000002</v>
      </c>
      <c r="E43" s="905">
        <v>18.318358828476192</v>
      </c>
      <c r="F43" s="328">
        <v>50.881999999999998</v>
      </c>
      <c r="G43" s="328">
        <v>446.20100000000002</v>
      </c>
      <c r="H43" s="908">
        <v>12.279285838046167</v>
      </c>
    </row>
    <row r="44" spans="2:8" ht="15" customHeight="1" x14ac:dyDescent="0.2">
      <c r="B44" s="161" t="s">
        <v>88</v>
      </c>
      <c r="C44" s="328">
        <v>67.867000000000004</v>
      </c>
      <c r="D44" s="328">
        <v>409.83100000000002</v>
      </c>
      <c r="E44" s="905">
        <v>6.9469774109010869</v>
      </c>
      <c r="F44" s="328">
        <v>56.710999999999999</v>
      </c>
      <c r="G44" s="328">
        <v>326.31799999999998</v>
      </c>
      <c r="H44" s="908">
        <v>7.4437255329426257</v>
      </c>
    </row>
    <row r="45" spans="2:8" ht="15" customHeight="1" x14ac:dyDescent="0.2">
      <c r="B45" s="161" t="s">
        <v>89</v>
      </c>
      <c r="C45" s="328">
        <v>74.453999999999994</v>
      </c>
      <c r="D45" s="328">
        <v>239.15899999999999</v>
      </c>
      <c r="E45" s="905">
        <v>13.842060509633942</v>
      </c>
      <c r="F45" s="328">
        <v>99.063000000000002</v>
      </c>
      <c r="G45" s="328">
        <v>197.251</v>
      </c>
      <c r="H45" s="908">
        <v>14.676268087239098</v>
      </c>
    </row>
    <row r="46" spans="2:8" ht="15" customHeight="1" x14ac:dyDescent="0.2">
      <c r="B46" s="161" t="s">
        <v>90</v>
      </c>
      <c r="C46" s="328">
        <v>34.271000000000001</v>
      </c>
      <c r="D46" s="328">
        <v>49.046999999999997</v>
      </c>
      <c r="E46" s="905">
        <v>37.133856755261817</v>
      </c>
      <c r="F46" s="328">
        <v>22.553000000000001</v>
      </c>
      <c r="G46" s="328">
        <v>40.027999999999999</v>
      </c>
      <c r="H46" s="908">
        <v>42.689795254575863</v>
      </c>
    </row>
    <row r="47" spans="2:8" ht="15" customHeight="1" x14ac:dyDescent="0.2">
      <c r="B47" s="164" t="s">
        <v>91</v>
      </c>
      <c r="C47" s="329">
        <v>38.637</v>
      </c>
      <c r="D47" s="329">
        <v>306.024</v>
      </c>
      <c r="E47" s="906">
        <v>12.341730892854001</v>
      </c>
      <c r="F47" s="329">
        <v>50.713999999999999</v>
      </c>
      <c r="G47" s="329">
        <v>290.57799999999997</v>
      </c>
      <c r="H47" s="909">
        <v>12.341224500730885</v>
      </c>
    </row>
    <row r="50" spans="2:8" ht="15" customHeight="1" x14ac:dyDescent="0.2">
      <c r="B50" s="1087" t="s">
        <v>77</v>
      </c>
      <c r="C50" s="1089" t="s">
        <v>227</v>
      </c>
      <c r="D50" s="1089"/>
      <c r="E50" s="1089"/>
      <c r="F50" s="1089" t="s">
        <v>228</v>
      </c>
      <c r="G50" s="1089"/>
      <c r="H50" s="1018"/>
    </row>
    <row r="51" spans="2:8" ht="15" customHeight="1" x14ac:dyDescent="0.2">
      <c r="B51" s="1113"/>
      <c r="C51" s="324" t="s">
        <v>78</v>
      </c>
      <c r="D51" s="1091" t="s">
        <v>79</v>
      </c>
      <c r="E51" s="1091"/>
      <c r="F51" s="324" t="s">
        <v>78</v>
      </c>
      <c r="G51" s="1091" t="s">
        <v>79</v>
      </c>
      <c r="H51" s="1013"/>
    </row>
    <row r="52" spans="2:8" ht="30" customHeight="1" x14ac:dyDescent="0.2">
      <c r="B52" s="1113"/>
      <c r="C52" s="1090" t="s">
        <v>326</v>
      </c>
      <c r="D52" s="1090"/>
      <c r="E52" s="130" t="s">
        <v>82</v>
      </c>
      <c r="F52" s="1090" t="s">
        <v>326</v>
      </c>
      <c r="G52" s="1090"/>
      <c r="H52" s="131" t="s">
        <v>82</v>
      </c>
    </row>
    <row r="53" spans="2:8" ht="15" customHeight="1" x14ac:dyDescent="0.2">
      <c r="B53" s="144" t="str">
        <f>Index!$B$4</f>
        <v>England</v>
      </c>
      <c r="C53" s="134"/>
      <c r="D53" s="134"/>
      <c r="E53" s="135"/>
      <c r="F53" s="134"/>
      <c r="G53" s="134"/>
      <c r="H53" s="135"/>
    </row>
    <row r="54" spans="2:8" ht="15" customHeight="1" x14ac:dyDescent="0.2">
      <c r="B54" s="132" t="s">
        <v>92</v>
      </c>
      <c r="C54" s="327">
        <v>1094.79</v>
      </c>
      <c r="D54" s="327">
        <v>2910.4050000000002</v>
      </c>
      <c r="E54" s="904">
        <v>5.8810833804531484</v>
      </c>
      <c r="F54" s="327">
        <v>1100.3589999999999</v>
      </c>
      <c r="G54" s="327">
        <v>2272.7440000000001</v>
      </c>
      <c r="H54" s="907">
        <v>6.3794291254089313</v>
      </c>
    </row>
    <row r="55" spans="2:8" ht="15" customHeight="1" x14ac:dyDescent="0.2">
      <c r="B55" s="161" t="s">
        <v>84</v>
      </c>
      <c r="C55" s="328">
        <v>458.39300000000003</v>
      </c>
      <c r="D55" s="328">
        <v>697.48900000000003</v>
      </c>
      <c r="E55" s="905">
        <v>17.720415264244306</v>
      </c>
      <c r="F55" s="328">
        <v>433.029</v>
      </c>
      <c r="G55" s="328">
        <v>474.54899999999998</v>
      </c>
      <c r="H55" s="908">
        <v>18.726785014799798</v>
      </c>
    </row>
    <row r="56" spans="2:8" ht="15" customHeight="1" x14ac:dyDescent="0.2">
      <c r="B56" s="161" t="s">
        <v>85</v>
      </c>
      <c r="C56" s="328">
        <v>96.797000000000011</v>
      </c>
      <c r="D56" s="328">
        <v>832.30399999999997</v>
      </c>
      <c r="E56" s="905">
        <v>9.6423204712133046</v>
      </c>
      <c r="F56" s="328">
        <v>94.827999999999989</v>
      </c>
      <c r="G56" s="328">
        <v>777.92</v>
      </c>
      <c r="H56" s="908">
        <v>11.821284502945733</v>
      </c>
    </row>
    <row r="57" spans="2:8" ht="15" customHeight="1" x14ac:dyDescent="0.2">
      <c r="B57" s="161" t="s">
        <v>86</v>
      </c>
      <c r="C57" s="328">
        <v>274.34600000000006</v>
      </c>
      <c r="D57" s="328">
        <v>146.18299999999999</v>
      </c>
      <c r="E57" s="905">
        <v>28.133280613360093</v>
      </c>
      <c r="F57" s="328">
        <v>262.63900000000007</v>
      </c>
      <c r="G57" s="328">
        <v>109.232</v>
      </c>
      <c r="H57" s="908">
        <v>28.396266231829777</v>
      </c>
    </row>
    <row r="58" spans="2:8" ht="15" customHeight="1" x14ac:dyDescent="0.2">
      <c r="B58" s="161" t="s">
        <v>87</v>
      </c>
      <c r="C58" s="328">
        <v>35.426000000000002</v>
      </c>
      <c r="D58" s="328">
        <v>454.197</v>
      </c>
      <c r="E58" s="905">
        <v>15.09956982649409</v>
      </c>
      <c r="F58" s="328">
        <v>55.984000000000002</v>
      </c>
      <c r="G58" s="328">
        <v>246.98</v>
      </c>
      <c r="H58" s="908">
        <v>13.27418321357456</v>
      </c>
    </row>
    <row r="59" spans="2:8" ht="15" customHeight="1" x14ac:dyDescent="0.2">
      <c r="B59" s="161" t="s">
        <v>88</v>
      </c>
      <c r="C59" s="328">
        <v>61.542999999999999</v>
      </c>
      <c r="D59" s="328">
        <v>306.90899999999999</v>
      </c>
      <c r="E59" s="905">
        <v>7.5604553872133815</v>
      </c>
      <c r="F59" s="328">
        <v>64.763000000000005</v>
      </c>
      <c r="G59" s="328">
        <v>189.46100000000001</v>
      </c>
      <c r="H59" s="908">
        <v>8.698584349301079</v>
      </c>
    </row>
    <row r="60" spans="2:8" ht="15" customHeight="1" x14ac:dyDescent="0.2">
      <c r="B60" s="161" t="s">
        <v>89</v>
      </c>
      <c r="C60" s="328">
        <v>114.209</v>
      </c>
      <c r="D60" s="328">
        <v>173.851</v>
      </c>
      <c r="E60" s="905">
        <v>13.593300838230569</v>
      </c>
      <c r="F60" s="328">
        <v>128.69800000000001</v>
      </c>
      <c r="G60" s="328">
        <v>163.316</v>
      </c>
      <c r="H60" s="908">
        <v>19.161044793600759</v>
      </c>
    </row>
    <row r="61" spans="2:8" ht="15" customHeight="1" x14ac:dyDescent="0.2">
      <c r="B61" s="161" t="s">
        <v>90</v>
      </c>
      <c r="C61" s="328">
        <v>16.981000000000002</v>
      </c>
      <c r="D61" s="328">
        <v>21.263999999999999</v>
      </c>
      <c r="E61" s="905">
        <v>50.672797117315056</v>
      </c>
      <c r="F61" s="328">
        <v>4.6109999999999998</v>
      </c>
      <c r="G61" s="328">
        <v>79.825999999999993</v>
      </c>
      <c r="H61" s="908">
        <v>42.390768401698281</v>
      </c>
    </row>
    <row r="62" spans="2:8" ht="15" customHeight="1" x14ac:dyDescent="0.2">
      <c r="B62" s="164" t="s">
        <v>91</v>
      </c>
      <c r="C62" s="329">
        <v>37.094999999999999</v>
      </c>
      <c r="D62" s="329">
        <v>271.84699999999998</v>
      </c>
      <c r="E62" s="906">
        <v>17.017862564145453</v>
      </c>
      <c r="F62" s="329">
        <v>55.804999999999993</v>
      </c>
      <c r="G62" s="329">
        <v>224.69800000000001</v>
      </c>
      <c r="H62" s="909">
        <v>18.296488297265853</v>
      </c>
    </row>
    <row r="65" spans="2:8" ht="15" customHeight="1" x14ac:dyDescent="0.2">
      <c r="B65" s="1087" t="s">
        <v>77</v>
      </c>
      <c r="C65" s="1089" t="s">
        <v>333</v>
      </c>
      <c r="D65" s="1089"/>
      <c r="E65" s="1089"/>
      <c r="F65" s="1089" t="s">
        <v>334</v>
      </c>
      <c r="G65" s="1089"/>
      <c r="H65" s="1018"/>
    </row>
    <row r="66" spans="2:8" ht="15" customHeight="1" x14ac:dyDescent="0.2">
      <c r="B66" s="1113"/>
      <c r="C66" s="324" t="s">
        <v>78</v>
      </c>
      <c r="D66" s="1091" t="s">
        <v>79</v>
      </c>
      <c r="E66" s="1091"/>
      <c r="F66" s="324" t="s">
        <v>78</v>
      </c>
      <c r="G66" s="1091" t="s">
        <v>79</v>
      </c>
      <c r="H66" s="1013"/>
    </row>
    <row r="67" spans="2:8" ht="30" customHeight="1" x14ac:dyDescent="0.2">
      <c r="B67" s="1113"/>
      <c r="C67" s="1090" t="s">
        <v>326</v>
      </c>
      <c r="D67" s="1090"/>
      <c r="E67" s="130" t="s">
        <v>82</v>
      </c>
      <c r="F67" s="1090" t="s">
        <v>326</v>
      </c>
      <c r="G67" s="1090"/>
      <c r="H67" s="131" t="s">
        <v>82</v>
      </c>
    </row>
    <row r="68" spans="2:8" ht="15" customHeight="1" x14ac:dyDescent="0.2">
      <c r="B68" s="144" t="str">
        <f>Index!$B$4</f>
        <v>England</v>
      </c>
      <c r="C68" s="134"/>
      <c r="D68" s="134"/>
      <c r="E68" s="135"/>
      <c r="F68" s="134"/>
      <c r="G68" s="134"/>
      <c r="H68" s="135"/>
    </row>
    <row r="69" spans="2:8" ht="15" customHeight="1" x14ac:dyDescent="0.2">
      <c r="B69" s="132" t="s">
        <v>92</v>
      </c>
      <c r="C69" s="327">
        <v>1120.8820000000001</v>
      </c>
      <c r="D69" s="327">
        <v>1864.1179999999999</v>
      </c>
      <c r="E69" s="904">
        <v>6.0087275633713189</v>
      </c>
      <c r="F69" s="327">
        <v>1071.3799999999999</v>
      </c>
      <c r="G69" s="327">
        <v>1537.9449999999999</v>
      </c>
      <c r="H69" s="907">
        <v>5.3753890135659841</v>
      </c>
    </row>
    <row r="70" spans="2:8" ht="15" customHeight="1" x14ac:dyDescent="0.2">
      <c r="B70" s="161" t="s">
        <v>84</v>
      </c>
      <c r="C70" s="328">
        <v>456.46199999999999</v>
      </c>
      <c r="D70" s="328">
        <v>347.95499999999998</v>
      </c>
      <c r="E70" s="905">
        <v>16.46248781707121</v>
      </c>
      <c r="F70" s="328">
        <v>457.69300000000004</v>
      </c>
      <c r="G70" s="328">
        <v>267.67399999999998</v>
      </c>
      <c r="H70" s="908">
        <v>10.013703869788577</v>
      </c>
    </row>
    <row r="71" spans="2:8" ht="15" customHeight="1" x14ac:dyDescent="0.2">
      <c r="B71" s="161" t="s">
        <v>85</v>
      </c>
      <c r="C71" s="328">
        <v>93.313000000000002</v>
      </c>
      <c r="D71" s="328">
        <v>482.065</v>
      </c>
      <c r="E71" s="905">
        <v>12.824344512241877</v>
      </c>
      <c r="F71" s="328">
        <v>99.399999999999991</v>
      </c>
      <c r="G71" s="328">
        <v>471.15699999999998</v>
      </c>
      <c r="H71" s="908">
        <v>12.284665389125159</v>
      </c>
    </row>
    <row r="72" spans="2:8" ht="15" customHeight="1" x14ac:dyDescent="0.2">
      <c r="B72" s="161" t="s">
        <v>86</v>
      </c>
      <c r="C72" s="328">
        <v>225.339</v>
      </c>
      <c r="D72" s="328">
        <v>77.539000000000001</v>
      </c>
      <c r="E72" s="905">
        <v>26.353714592442667</v>
      </c>
      <c r="F72" s="328">
        <v>194.38</v>
      </c>
      <c r="G72" s="328">
        <v>37.014000000000003</v>
      </c>
      <c r="H72" s="908">
        <v>35.522841629710427</v>
      </c>
    </row>
    <row r="73" spans="2:8" ht="15" customHeight="1" x14ac:dyDescent="0.2">
      <c r="B73" s="161" t="s">
        <v>87</v>
      </c>
      <c r="C73" s="328">
        <v>59.093000000000011</v>
      </c>
      <c r="D73" s="328">
        <v>380.43400000000003</v>
      </c>
      <c r="E73" s="905">
        <v>14.878526094320064</v>
      </c>
      <c r="F73" s="328">
        <v>58.812999999999995</v>
      </c>
      <c r="G73" s="328">
        <v>251.149</v>
      </c>
      <c r="H73" s="908">
        <v>16.289820388137464</v>
      </c>
    </row>
    <row r="74" spans="2:8" ht="15" customHeight="1" x14ac:dyDescent="0.2">
      <c r="B74" s="161" t="s">
        <v>88</v>
      </c>
      <c r="C74" s="328">
        <v>87.286000000000001</v>
      </c>
      <c r="D74" s="328">
        <v>143.20500000000001</v>
      </c>
      <c r="E74" s="905">
        <v>8.2230354315680234</v>
      </c>
      <c r="F74" s="328">
        <v>67.685999999999993</v>
      </c>
      <c r="G74" s="328">
        <v>152.24199999999999</v>
      </c>
      <c r="H74" s="908">
        <v>8.763584240759176</v>
      </c>
    </row>
    <row r="75" spans="2:8" ht="15" customHeight="1" x14ac:dyDescent="0.2">
      <c r="B75" s="161" t="s">
        <v>89</v>
      </c>
      <c r="C75" s="328">
        <v>134.15099999999998</v>
      </c>
      <c r="D75" s="328">
        <v>166.14599999999999</v>
      </c>
      <c r="E75" s="905">
        <v>13.303468497575171</v>
      </c>
      <c r="F75" s="328">
        <v>125.453</v>
      </c>
      <c r="G75" s="328">
        <v>142.88999999999999</v>
      </c>
      <c r="H75" s="908">
        <v>6.9606281933660918</v>
      </c>
    </row>
    <row r="76" spans="2:8" ht="15" customHeight="1" x14ac:dyDescent="0.2">
      <c r="B76" s="161" t="s">
        <v>90</v>
      </c>
      <c r="C76" s="328">
        <v>4.5609999999999991</v>
      </c>
      <c r="D76" s="328">
        <v>38.256</v>
      </c>
      <c r="E76" s="905">
        <v>43.335936860139476</v>
      </c>
      <c r="F76" s="328">
        <v>6.4719999999999995</v>
      </c>
      <c r="G76" s="328">
        <v>7.3090000000000002</v>
      </c>
      <c r="H76" s="908">
        <v>51.778538396913824</v>
      </c>
    </row>
    <row r="77" spans="2:8" ht="15" customHeight="1" x14ac:dyDescent="0.2">
      <c r="B77" s="164" t="s">
        <v>91</v>
      </c>
      <c r="C77" s="329">
        <v>60.675000000000004</v>
      </c>
      <c r="D77" s="329">
        <v>224.14699999999999</v>
      </c>
      <c r="E77" s="906">
        <v>18.196479330030986</v>
      </c>
      <c r="F77" s="329">
        <v>60.675000000000004</v>
      </c>
      <c r="G77" s="329">
        <v>206.684</v>
      </c>
      <c r="H77" s="909">
        <v>10.12555634120657</v>
      </c>
    </row>
    <row r="80" spans="2:8" ht="15" customHeight="1" x14ac:dyDescent="0.2">
      <c r="B80" s="1087" t="s">
        <v>77</v>
      </c>
      <c r="C80" s="1089" t="s">
        <v>231</v>
      </c>
      <c r="D80" s="1089"/>
      <c r="E80" s="1089"/>
      <c r="F80" s="1089" t="s">
        <v>232</v>
      </c>
      <c r="G80" s="1089"/>
      <c r="H80" s="1018"/>
    </row>
    <row r="81" spans="2:8" ht="15" customHeight="1" x14ac:dyDescent="0.2">
      <c r="B81" s="1113"/>
      <c r="C81" s="324" t="s">
        <v>78</v>
      </c>
      <c r="D81" s="1091" t="s">
        <v>79</v>
      </c>
      <c r="E81" s="1091"/>
      <c r="F81" s="324" t="s">
        <v>78</v>
      </c>
      <c r="G81" s="1091" t="s">
        <v>79</v>
      </c>
      <c r="H81" s="1013"/>
    </row>
    <row r="82" spans="2:8" ht="30" customHeight="1" x14ac:dyDescent="0.2">
      <c r="B82" s="1113"/>
      <c r="C82" s="1090" t="s">
        <v>326</v>
      </c>
      <c r="D82" s="1090"/>
      <c r="E82" s="130" t="s">
        <v>82</v>
      </c>
      <c r="F82" s="1090" t="s">
        <v>326</v>
      </c>
      <c r="G82" s="1090"/>
      <c r="H82" s="131" t="s">
        <v>82</v>
      </c>
    </row>
    <row r="83" spans="2:8" ht="15" customHeight="1" x14ac:dyDescent="0.2">
      <c r="B83" s="144" t="str">
        <f>Index!$B$4</f>
        <v>England</v>
      </c>
      <c r="C83" s="134"/>
      <c r="D83" s="134"/>
      <c r="E83" s="135"/>
      <c r="F83" s="134"/>
      <c r="G83" s="134"/>
      <c r="H83" s="135"/>
    </row>
    <row r="84" spans="2:8" ht="15" customHeight="1" x14ac:dyDescent="0.2">
      <c r="B84" s="132" t="s">
        <v>92</v>
      </c>
      <c r="C84" s="327">
        <v>903.8119999999999</v>
      </c>
      <c r="D84" s="327">
        <v>1437.366</v>
      </c>
      <c r="E84" s="904">
        <v>5.6549002041536838</v>
      </c>
      <c r="F84" s="327">
        <v>1425.9059999999999</v>
      </c>
      <c r="G84" s="327">
        <v>1622.8710000000001</v>
      </c>
      <c r="H84" s="907">
        <v>5.9226321723649189</v>
      </c>
    </row>
    <row r="85" spans="2:8" ht="15" customHeight="1" x14ac:dyDescent="0.2">
      <c r="B85" s="161" t="s">
        <v>84</v>
      </c>
      <c r="C85" s="328">
        <v>370.92600000000004</v>
      </c>
      <c r="D85" s="328">
        <v>303.541</v>
      </c>
      <c r="E85" s="905">
        <v>10.750131391541743</v>
      </c>
      <c r="F85" s="328">
        <v>656.6690000000001</v>
      </c>
      <c r="G85" s="328">
        <v>450.29700000000003</v>
      </c>
      <c r="H85" s="908">
        <v>15.820005905424264</v>
      </c>
    </row>
    <row r="86" spans="2:8" ht="15" customHeight="1" x14ac:dyDescent="0.2">
      <c r="B86" s="161" t="s">
        <v>85</v>
      </c>
      <c r="C86" s="328">
        <v>93.757999999999996</v>
      </c>
      <c r="D86" s="328">
        <v>306.33199999999999</v>
      </c>
      <c r="E86" s="905">
        <v>11.467687252761994</v>
      </c>
      <c r="F86" s="328">
        <v>167.32299999999998</v>
      </c>
      <c r="G86" s="328">
        <v>359.59100000000001</v>
      </c>
      <c r="H86" s="908">
        <v>11.789978933148436</v>
      </c>
    </row>
    <row r="87" spans="2:8" ht="15" customHeight="1" x14ac:dyDescent="0.2">
      <c r="B87" s="161" t="s">
        <v>86</v>
      </c>
      <c r="C87" s="328">
        <v>130.61600000000001</v>
      </c>
      <c r="D87" s="328">
        <v>51.881999999999998</v>
      </c>
      <c r="E87" s="905">
        <v>41.759499753950998</v>
      </c>
      <c r="F87" s="328">
        <v>122.66499999999999</v>
      </c>
      <c r="G87" s="328">
        <v>51.633000000000003</v>
      </c>
      <c r="H87" s="908">
        <v>57.883511256598069</v>
      </c>
    </row>
    <row r="88" spans="2:8" ht="15" customHeight="1" x14ac:dyDescent="0.2">
      <c r="B88" s="161" t="s">
        <v>87</v>
      </c>
      <c r="C88" s="328">
        <v>58.156000000000006</v>
      </c>
      <c r="D88" s="328">
        <v>265.22199999999998</v>
      </c>
      <c r="E88" s="905">
        <v>21.265667505433736</v>
      </c>
      <c r="F88" s="328">
        <v>123.48</v>
      </c>
      <c r="G88" s="328">
        <v>187.14500000000001</v>
      </c>
      <c r="H88" s="908">
        <v>15.701934025016959</v>
      </c>
    </row>
    <row r="89" spans="2:8" ht="15" customHeight="1" x14ac:dyDescent="0.2">
      <c r="B89" s="161" t="s">
        <v>88</v>
      </c>
      <c r="C89" s="328">
        <v>51.921999999999997</v>
      </c>
      <c r="D89" s="328">
        <v>135.81</v>
      </c>
      <c r="E89" s="905">
        <v>8.0468077281636372</v>
      </c>
      <c r="F89" s="328">
        <v>99.765000000000001</v>
      </c>
      <c r="G89" s="328">
        <v>147.524</v>
      </c>
      <c r="H89" s="908">
        <v>7.5291070238206323</v>
      </c>
    </row>
    <row r="90" spans="2:8" ht="15" customHeight="1" x14ac:dyDescent="0.2">
      <c r="B90" s="161" t="s">
        <v>89</v>
      </c>
      <c r="C90" s="328">
        <v>127.724</v>
      </c>
      <c r="D90" s="328">
        <v>172.10400000000001</v>
      </c>
      <c r="E90" s="905">
        <v>10.55721714723245</v>
      </c>
      <c r="F90" s="328">
        <v>145.53800000000001</v>
      </c>
      <c r="G90" s="328">
        <v>194.58500000000001</v>
      </c>
      <c r="H90" s="908">
        <v>8.9377459864158801</v>
      </c>
    </row>
    <row r="91" spans="2:8" ht="15" customHeight="1" x14ac:dyDescent="0.2">
      <c r="B91" s="161" t="s">
        <v>90</v>
      </c>
      <c r="C91" s="328">
        <v>6.6949999999999994</v>
      </c>
      <c r="D91" s="328">
        <v>6.4870000000000001</v>
      </c>
      <c r="E91" s="905">
        <v>27.372559948637551</v>
      </c>
      <c r="F91" s="328">
        <v>10.158000000000001</v>
      </c>
      <c r="G91" s="328">
        <v>2.7970000000000002</v>
      </c>
      <c r="H91" s="908">
        <v>31.555326850533259</v>
      </c>
    </row>
    <row r="92" spans="2:8" ht="15" customHeight="1" x14ac:dyDescent="0.2">
      <c r="B92" s="164" t="s">
        <v>91</v>
      </c>
      <c r="C92" s="329">
        <v>61.487000000000002</v>
      </c>
      <c r="D92" s="329">
        <v>194.84800000000001</v>
      </c>
      <c r="E92" s="906">
        <v>8.1821975955458157</v>
      </c>
      <c r="F92" s="329">
        <v>64.006999999999991</v>
      </c>
      <c r="G92" s="329">
        <v>228.21100000000001</v>
      </c>
      <c r="H92" s="909">
        <v>7.6364568072489245</v>
      </c>
    </row>
    <row r="95" spans="2:8" ht="15" customHeight="1" x14ac:dyDescent="0.2">
      <c r="B95" s="1087" t="s">
        <v>77</v>
      </c>
      <c r="C95" s="1089" t="s">
        <v>233</v>
      </c>
      <c r="D95" s="1089"/>
      <c r="E95" s="1018"/>
    </row>
    <row r="96" spans="2:8" ht="15" customHeight="1" x14ac:dyDescent="0.2">
      <c r="B96" s="1113"/>
      <c r="C96" s="324" t="s">
        <v>78</v>
      </c>
      <c r="D96" s="1091" t="s">
        <v>79</v>
      </c>
      <c r="E96" s="1013"/>
    </row>
    <row r="97" spans="2:5" ht="30" customHeight="1" x14ac:dyDescent="0.2">
      <c r="B97" s="1113"/>
      <c r="C97" s="1090" t="s">
        <v>326</v>
      </c>
      <c r="D97" s="1090"/>
      <c r="E97" s="131" t="s">
        <v>82</v>
      </c>
    </row>
    <row r="98" spans="2:5" ht="15" customHeight="1" x14ac:dyDescent="0.2">
      <c r="B98" s="144" t="str">
        <f>Index!$B$4</f>
        <v>England</v>
      </c>
      <c r="C98" s="134"/>
      <c r="D98" s="134"/>
      <c r="E98" s="135"/>
    </row>
    <row r="99" spans="2:5" ht="15" customHeight="1" x14ac:dyDescent="0.2">
      <c r="B99" s="132" t="s">
        <v>92</v>
      </c>
      <c r="C99" s="327">
        <v>868.93399999999997</v>
      </c>
      <c r="D99" s="327">
        <v>1370.6420000000001</v>
      </c>
      <c r="E99" s="907">
        <v>5.9733356391400863</v>
      </c>
    </row>
    <row r="100" spans="2:5" ht="15" customHeight="1" x14ac:dyDescent="0.2">
      <c r="B100" s="161" t="s">
        <v>84</v>
      </c>
      <c r="C100" s="328">
        <v>284.83499999999998</v>
      </c>
      <c r="D100" s="328">
        <v>425.92899999999997</v>
      </c>
      <c r="E100" s="908">
        <v>15.690062048863334</v>
      </c>
    </row>
    <row r="101" spans="2:5" ht="15" customHeight="1" x14ac:dyDescent="0.2">
      <c r="B101" s="161" t="s">
        <v>85</v>
      </c>
      <c r="C101" s="328">
        <v>113.131</v>
      </c>
      <c r="D101" s="328">
        <v>272.41899999999998</v>
      </c>
      <c r="E101" s="908">
        <v>10.904126328268001</v>
      </c>
    </row>
    <row r="102" spans="2:5" ht="15" customHeight="1" x14ac:dyDescent="0.2">
      <c r="B102" s="161" t="s">
        <v>86</v>
      </c>
      <c r="C102" s="328">
        <v>73.966000000000008</v>
      </c>
      <c r="D102" s="328">
        <v>10.742000000000001</v>
      </c>
      <c r="E102" s="908">
        <v>29.615710626204688</v>
      </c>
    </row>
    <row r="103" spans="2:5" ht="15" customHeight="1" x14ac:dyDescent="0.2">
      <c r="B103" s="161" t="s">
        <v>87</v>
      </c>
      <c r="C103" s="328">
        <v>62.459000000000003</v>
      </c>
      <c r="D103" s="328">
        <v>153.57</v>
      </c>
      <c r="E103" s="908">
        <v>14.353929386400809</v>
      </c>
    </row>
    <row r="104" spans="2:5" ht="15" customHeight="1" x14ac:dyDescent="0.2">
      <c r="B104" s="161" t="s">
        <v>88</v>
      </c>
      <c r="C104" s="328">
        <v>41.011999999999993</v>
      </c>
      <c r="D104" s="328">
        <v>70.951999999999998</v>
      </c>
      <c r="E104" s="908">
        <v>6.3392452144264464</v>
      </c>
    </row>
    <row r="105" spans="2:5" ht="15" customHeight="1" x14ac:dyDescent="0.2">
      <c r="B105" s="161" t="s">
        <v>89</v>
      </c>
      <c r="C105" s="328">
        <v>178.51799999999997</v>
      </c>
      <c r="D105" s="328">
        <v>191.00899999999999</v>
      </c>
      <c r="E105" s="908">
        <v>7.635833481979545</v>
      </c>
    </row>
    <row r="106" spans="2:5" ht="15" customHeight="1" x14ac:dyDescent="0.2">
      <c r="B106" s="161" t="s">
        <v>90</v>
      </c>
      <c r="C106" s="328">
        <v>6.2779999999999996</v>
      </c>
      <c r="D106" s="328">
        <v>9.5239999999999991</v>
      </c>
      <c r="E106" s="908">
        <v>57.936191472608854</v>
      </c>
    </row>
    <row r="107" spans="2:5" ht="15" customHeight="1" x14ac:dyDescent="0.2">
      <c r="B107" s="164" t="s">
        <v>91</v>
      </c>
      <c r="C107" s="329">
        <v>109</v>
      </c>
      <c r="D107" s="329">
        <v>234.74100000000001</v>
      </c>
      <c r="E107" s="909">
        <v>5.4724037955429337</v>
      </c>
    </row>
  </sheetData>
  <mergeCells count="73">
    <mergeCell ref="X5:Z5"/>
    <mergeCell ref="AA5:AC5"/>
    <mergeCell ref="AD5:AF5"/>
    <mergeCell ref="Y6:Z6"/>
    <mergeCell ref="AB6:AC6"/>
    <mergeCell ref="AE6:AF6"/>
    <mergeCell ref="X7:Y7"/>
    <mergeCell ref="AA7:AB7"/>
    <mergeCell ref="AD7:AE7"/>
    <mergeCell ref="I7:J7"/>
    <mergeCell ref="L7:M7"/>
    <mergeCell ref="O7:P7"/>
    <mergeCell ref="R5:T5"/>
    <mergeCell ref="U5:W5"/>
    <mergeCell ref="R7:S7"/>
    <mergeCell ref="U7:V7"/>
    <mergeCell ref="S6:T6"/>
    <mergeCell ref="V6:W6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D21:E21"/>
    <mergeCell ref="G21:H21"/>
    <mergeCell ref="B20:B22"/>
    <mergeCell ref="C20:E20"/>
    <mergeCell ref="F20:H20"/>
    <mergeCell ref="C22:D22"/>
    <mergeCell ref="F22:G22"/>
    <mergeCell ref="B50:B52"/>
    <mergeCell ref="F37:G37"/>
    <mergeCell ref="C37:D37"/>
    <mergeCell ref="D36:E36"/>
    <mergeCell ref="G36:H36"/>
    <mergeCell ref="B35:B37"/>
    <mergeCell ref="F35:H35"/>
    <mergeCell ref="C35:E35"/>
    <mergeCell ref="C52:D52"/>
    <mergeCell ref="F52:G52"/>
    <mergeCell ref="G51:H51"/>
    <mergeCell ref="D51:E51"/>
    <mergeCell ref="C50:E50"/>
    <mergeCell ref="F50:H50"/>
    <mergeCell ref="G66:H66"/>
    <mergeCell ref="F67:G67"/>
    <mergeCell ref="C67:D67"/>
    <mergeCell ref="D66:E66"/>
    <mergeCell ref="B65:B67"/>
    <mergeCell ref="F65:H65"/>
    <mergeCell ref="C65:E65"/>
    <mergeCell ref="F80:H80"/>
    <mergeCell ref="G81:H81"/>
    <mergeCell ref="D81:E81"/>
    <mergeCell ref="C80:E80"/>
    <mergeCell ref="B80:B82"/>
    <mergeCell ref="D96:E96"/>
    <mergeCell ref="C97:D97"/>
    <mergeCell ref="F82:G82"/>
    <mergeCell ref="B95:B97"/>
    <mergeCell ref="C95:E95"/>
    <mergeCell ref="C82:D82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" id="{E61C3219-A97A-49F3-B131-02A681A88D98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40" id="{2EB23799-C26E-4BCE-84F1-020195D91B9E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39" id="{25E368F6-0D6D-482D-8CEF-EC806CCD964E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38" id="{61403A03-2726-4221-B86D-616CF34A5DD8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37" id="{852E8AF0-5C49-4D56-A9AB-E8C8ECBAB17E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36" id="{9D1B4B03-2493-4CC7-93CB-99EC16D3428C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35" id="{285B27D4-0A97-49A2-B734-631BAA7EED81}">
            <xm:f>IF($W9&gt;Sheet1!$F$4,1,)</xm:f>
            <x14:dxf>
              <font>
                <color rgb="FF808080"/>
              </font>
            </x14:dxf>
          </x14:cfRule>
          <xm:sqref>V9:W17</xm:sqref>
        </x14:conditionalFormatting>
        <x14:conditionalFormatting xmlns:xm="http://schemas.microsoft.com/office/excel/2006/main">
          <x14:cfRule type="expression" priority="34" id="{CBCDA569-4359-4A77-9263-BC0C02654B4A}">
            <xm:f>IF($Z9&gt;Sheet1!$F$4,1,)</xm:f>
            <x14:dxf>
              <font>
                <color rgb="FF808080"/>
              </font>
            </x14:dxf>
          </x14:cfRule>
          <xm:sqref>Y9:Z17</xm:sqref>
        </x14:conditionalFormatting>
        <x14:conditionalFormatting xmlns:xm="http://schemas.microsoft.com/office/excel/2006/main">
          <x14:cfRule type="expression" priority="33" id="{A13F8A4A-190E-41CB-A8C2-7311886F8313}">
            <xm:f>IF($AC9&gt;Sheet1!$F$4,1,)</xm:f>
            <x14:dxf>
              <font>
                <color rgb="FF808080"/>
              </font>
            </x14:dxf>
          </x14:cfRule>
          <xm:sqref>AB9:AC17</xm:sqref>
        </x14:conditionalFormatting>
        <x14:conditionalFormatting xmlns:xm="http://schemas.microsoft.com/office/excel/2006/main">
          <x14:cfRule type="expression" priority="32" id="{E19335BB-3538-495E-B01E-6565F318FD19}">
            <xm:f>IF($AF9&gt;Sheet1!$F$4,1,)</xm:f>
            <x14:dxf>
              <font>
                <color rgb="FF808080"/>
              </font>
            </x14:dxf>
          </x14:cfRule>
          <xm:sqref>AE9:AF17</xm:sqref>
        </x14:conditionalFormatting>
        <x14:conditionalFormatting xmlns:xm="http://schemas.microsoft.com/office/excel/2006/main">
          <x14:cfRule type="expression" priority="31" id="{714489A4-72F1-41E0-B848-45846540ABDC}">
            <xm:f>IF($AI9&gt;Sheet1!$F$4,1,)</xm:f>
            <x14:dxf>
              <font>
                <color rgb="FF808080"/>
              </font>
            </x14:dxf>
          </x14:cfRule>
          <xm:sqref>AH9:AI17</xm:sqref>
        </x14:conditionalFormatting>
        <x14:conditionalFormatting xmlns:xm="http://schemas.microsoft.com/office/excel/2006/main">
          <x14:cfRule type="cellIs" priority="30" operator="between" id="{D5CFCCD1-8264-4356-84E5-51AB907CA50D}">
            <xm:f>Sheet1!$D$4</xm:f>
            <xm:f>Sheet1!$E$4</xm:f>
            <x14:dxf>
              <numFmt numFmtId="173" formatCode="&quot;&lt; 1&quot;"/>
            </x14:dxf>
          </x14:cfRule>
          <xm:sqref>C9:D17 F9:G17 I9:J17 L9:M17 O9:P17 R9:S17 U9:V17 X9:Y17 AA9:AB17 AD9:AE17 AG9:AH17</xm:sqref>
        </x14:conditionalFormatting>
        <x14:conditionalFormatting xmlns:xm="http://schemas.microsoft.com/office/excel/2006/main">
          <x14:cfRule type="expression" priority="20" id="{D982F813-A711-497E-8A54-6CC927E1F2D2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19" id="{471973A5-FD61-47EA-8128-F909E04DBAD3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cellIs" priority="18" operator="between" id="{CE56A0BD-57A4-4ED4-8DCF-D7941136954F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cellIs" priority="1" operator="between" id="{13650A40-8C15-4068-A61E-1564502AEB63}">
            <xm:f>Sheet1!$D$4</xm:f>
            <xm:f>Sheet1!$E$4</xm:f>
            <x14:dxf>
              <numFmt numFmtId="173" formatCode="&quot;&lt; 1&quot;"/>
            </x14:dxf>
          </x14:cfRule>
          <xm:sqref>C99:D107</xm:sqref>
        </x14:conditionalFormatting>
        <x14:conditionalFormatting xmlns:xm="http://schemas.microsoft.com/office/excel/2006/main">
          <x14:cfRule type="expression" priority="14" id="{58DCB8BC-607E-4F3F-9A4E-93BF863C1D40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expression" priority="13" id="{AA05724C-688A-4B57-A6F3-6465F529A74C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12" operator="between" id="{9DA5E3B0-0F9B-4B5D-AD75-F55406E26173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expression" priority="11" id="{8560CCEA-F23D-4B32-97CD-9A327B929C5E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expression" priority="10" id="{6E03B3FF-2DAA-40C8-B87B-1525CD8103FB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cellIs" priority="9" operator="between" id="{6142A174-7805-4A35-9680-35F2C06243D9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  <x14:conditionalFormatting xmlns:xm="http://schemas.microsoft.com/office/excel/2006/main">
          <x14:cfRule type="expression" priority="8" id="{4FCDA7AB-B353-4ED2-A222-37E3630780E3}">
            <xm:f>IF($E69&gt;Sheet1!$F$4,1,)</xm:f>
            <x14:dxf>
              <font>
                <color rgb="FF808080"/>
              </font>
            </x14:dxf>
          </x14:cfRule>
          <xm:sqref>D69:E77</xm:sqref>
        </x14:conditionalFormatting>
        <x14:conditionalFormatting xmlns:xm="http://schemas.microsoft.com/office/excel/2006/main">
          <x14:cfRule type="expression" priority="7" id="{F4D1E731-0C60-4CB4-8DFB-9687F32344F9}">
            <xm:f>IF($H69&gt;Sheet1!$F$4,1,)</xm:f>
            <x14:dxf>
              <font>
                <color rgb="FF808080"/>
              </font>
            </x14:dxf>
          </x14:cfRule>
          <xm:sqref>G69:H77</xm:sqref>
        </x14:conditionalFormatting>
        <x14:conditionalFormatting xmlns:xm="http://schemas.microsoft.com/office/excel/2006/main">
          <x14:cfRule type="cellIs" priority="6" operator="between" id="{5469EFA2-6267-42C4-A711-613389579C81}">
            <xm:f>Sheet1!$D$4</xm:f>
            <xm:f>Sheet1!$E$4</xm:f>
            <x14:dxf>
              <numFmt numFmtId="173" formatCode="&quot;&lt; 1&quot;"/>
            </x14:dxf>
          </x14:cfRule>
          <xm:sqref>C69:D77 F69:G77</xm:sqref>
        </x14:conditionalFormatting>
        <x14:conditionalFormatting xmlns:xm="http://schemas.microsoft.com/office/excel/2006/main">
          <x14:cfRule type="expression" priority="5" id="{C98E8183-2A45-4930-9A05-99112DF53B8E}">
            <xm:f>IF($E84&gt;Sheet1!$F$4,1,)</xm:f>
            <x14:dxf>
              <font>
                <color rgb="FF808080"/>
              </font>
            </x14:dxf>
          </x14:cfRule>
          <xm:sqref>D84:E92</xm:sqref>
        </x14:conditionalFormatting>
        <x14:conditionalFormatting xmlns:xm="http://schemas.microsoft.com/office/excel/2006/main">
          <x14:cfRule type="expression" priority="4" id="{C66C448F-BC7B-4BB5-B046-B7F829267190}">
            <xm:f>IF($H84&gt;Sheet1!$F$4,1,)</xm:f>
            <x14:dxf>
              <font>
                <color rgb="FF808080"/>
              </font>
            </x14:dxf>
          </x14:cfRule>
          <xm:sqref>G84:H92</xm:sqref>
        </x14:conditionalFormatting>
        <x14:conditionalFormatting xmlns:xm="http://schemas.microsoft.com/office/excel/2006/main">
          <x14:cfRule type="cellIs" priority="3" operator="between" id="{5194CB91-8B73-448F-9BB6-432D667D53C2}">
            <xm:f>Sheet1!$D$4</xm:f>
            <xm:f>Sheet1!$E$4</xm:f>
            <x14:dxf>
              <numFmt numFmtId="173" formatCode="&quot;&lt; 1&quot;"/>
            </x14:dxf>
          </x14:cfRule>
          <xm:sqref>C84:D92 F84:G92</xm:sqref>
        </x14:conditionalFormatting>
        <x14:conditionalFormatting xmlns:xm="http://schemas.microsoft.com/office/excel/2006/main">
          <x14:cfRule type="expression" priority="2" id="{E0EB2AA9-BE62-42FB-94BC-6CF33A51B8AB}">
            <xm:f>IF($E99&gt;Sheet1!$F$4,1,)</xm:f>
            <x14:dxf>
              <font>
                <color rgb="FF808080"/>
              </font>
            </x14:dxf>
          </x14:cfRule>
          <xm:sqref>D99:E107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8" tint="0.59999389629810485"/>
  </sheetPr>
  <dimension ref="B3:L28"/>
  <sheetViews>
    <sheetView workbookViewId="0"/>
  </sheetViews>
  <sheetFormatPr defaultRowHeight="15" customHeight="1" x14ac:dyDescent="0.2"/>
  <cols>
    <col min="3" max="3" width="18.25" customWidth="1"/>
  </cols>
  <sheetData>
    <row r="3" spans="2:12" ht="15" customHeight="1" x14ac:dyDescent="0.2">
      <c r="B3" t="s">
        <v>259</v>
      </c>
      <c r="C3" t="s">
        <v>357</v>
      </c>
    </row>
    <row r="5" spans="2:12" ht="15" customHeight="1" x14ac:dyDescent="0.2">
      <c r="B5" s="1116" t="str">
        <f>Index!$B$4</f>
        <v>England</v>
      </c>
      <c r="C5" s="1117"/>
      <c r="D5" s="1120" t="s">
        <v>213</v>
      </c>
      <c r="E5" s="1120"/>
      <c r="F5" s="1120"/>
      <c r="G5" s="1120"/>
      <c r="H5" s="1120"/>
      <c r="I5" s="1120"/>
      <c r="J5" s="1120"/>
      <c r="K5" s="1120"/>
      <c r="L5" s="1121"/>
    </row>
    <row r="6" spans="2:12" ht="15" customHeight="1" x14ac:dyDescent="0.2">
      <c r="B6" s="1118"/>
      <c r="C6" s="1119"/>
      <c r="D6" s="168" t="s">
        <v>214</v>
      </c>
      <c r="E6" s="169" t="s">
        <v>215</v>
      </c>
      <c r="F6" s="169" t="s">
        <v>216</v>
      </c>
      <c r="G6" s="169" t="s">
        <v>217</v>
      </c>
      <c r="H6" s="169" t="s">
        <v>218</v>
      </c>
      <c r="I6" s="169" t="s">
        <v>219</v>
      </c>
      <c r="J6" s="169" t="s">
        <v>220</v>
      </c>
      <c r="K6" s="169" t="s">
        <v>221</v>
      </c>
      <c r="L6" s="170" t="s">
        <v>80</v>
      </c>
    </row>
    <row r="7" spans="2:12" ht="15" customHeight="1" x14ac:dyDescent="0.2">
      <c r="B7" s="1114" t="s">
        <v>332</v>
      </c>
      <c r="C7" s="170" t="s">
        <v>223</v>
      </c>
      <c r="D7" s="316">
        <v>56.822385163189523</v>
      </c>
      <c r="E7" s="316">
        <v>67.387601911280029</v>
      </c>
      <c r="F7" s="316">
        <v>68.964122149758069</v>
      </c>
      <c r="G7" s="316">
        <v>65.80218757272516</v>
      </c>
      <c r="H7" s="316">
        <v>46.210396473087492</v>
      </c>
      <c r="I7" s="316">
        <v>28.32861482507078</v>
      </c>
      <c r="J7" s="316">
        <v>22.565610859728508</v>
      </c>
      <c r="K7" s="316">
        <v>23.510053641359793</v>
      </c>
      <c r="L7" s="317">
        <v>55.10150717643436</v>
      </c>
    </row>
    <row r="8" spans="2:12" ht="15" customHeight="1" x14ac:dyDescent="0.2">
      <c r="B8" s="1122"/>
      <c r="C8" s="170" t="s">
        <v>224</v>
      </c>
      <c r="D8" s="316">
        <v>37.548857302391184</v>
      </c>
      <c r="E8" s="316">
        <v>33.619296560249623</v>
      </c>
      <c r="F8" s="316">
        <v>32.63876651982379</v>
      </c>
      <c r="G8" s="316">
        <v>29.49788638003918</v>
      </c>
      <c r="H8" s="316">
        <v>24.028144200537323</v>
      </c>
      <c r="I8" s="316">
        <v>17.33966857035858</v>
      </c>
      <c r="J8" s="316">
        <v>13.759035780937962</v>
      </c>
      <c r="K8" s="316">
        <v>8.9737364403943065</v>
      </c>
      <c r="L8" s="317">
        <v>24.719965300139929</v>
      </c>
    </row>
    <row r="9" spans="2:12" ht="15" customHeight="1" x14ac:dyDescent="0.2">
      <c r="B9" s="1114" t="s">
        <v>222</v>
      </c>
      <c r="C9" s="170" t="s">
        <v>223</v>
      </c>
      <c r="D9" s="316">
        <v>56.961799118131907</v>
      </c>
      <c r="E9" s="316">
        <v>60.667500423944375</v>
      </c>
      <c r="F9" s="316">
        <v>59.690408107589242</v>
      </c>
      <c r="G9" s="316">
        <v>55.677094493250479</v>
      </c>
      <c r="H9" s="316">
        <v>41.224608702560978</v>
      </c>
      <c r="I9" s="316">
        <v>28.824917059050197</v>
      </c>
      <c r="J9" s="316">
        <v>23.838523738721307</v>
      </c>
      <c r="K9" s="316">
        <v>15.923733240466657</v>
      </c>
      <c r="L9" s="317">
        <v>48.334750388423629</v>
      </c>
    </row>
    <row r="10" spans="2:12" ht="15" customHeight="1" x14ac:dyDescent="0.2">
      <c r="B10" s="1122"/>
      <c r="C10" s="170" t="s">
        <v>224</v>
      </c>
      <c r="D10" s="316">
        <v>33.60374921697975</v>
      </c>
      <c r="E10" s="316">
        <v>32.175417794939989</v>
      </c>
      <c r="F10" s="316">
        <v>31.925689499959081</v>
      </c>
      <c r="G10" s="316">
        <v>32.381266936397964</v>
      </c>
      <c r="H10" s="316">
        <v>32.885250278592281</v>
      </c>
      <c r="I10" s="316">
        <v>29.510196656872704</v>
      </c>
      <c r="J10" s="316">
        <v>27.846249278090308</v>
      </c>
      <c r="K10" s="316">
        <v>27.757781559346512</v>
      </c>
      <c r="L10" s="317">
        <v>31.4724108273934</v>
      </c>
    </row>
    <row r="11" spans="2:12" ht="15" customHeight="1" x14ac:dyDescent="0.2">
      <c r="B11" s="1114" t="s">
        <v>225</v>
      </c>
      <c r="C11" s="170" t="s">
        <v>223</v>
      </c>
      <c r="D11" s="316">
        <v>59.683661871692294</v>
      </c>
      <c r="E11" s="316">
        <v>63.003638017280586</v>
      </c>
      <c r="F11" s="316">
        <v>60.96512082501242</v>
      </c>
      <c r="G11" s="316">
        <v>53.517201478847397</v>
      </c>
      <c r="H11" s="316">
        <v>36.704234392403393</v>
      </c>
      <c r="I11" s="316">
        <v>24.835105406997517</v>
      </c>
      <c r="J11" s="316">
        <v>20.722550467749876</v>
      </c>
      <c r="K11" s="316">
        <v>13.672841821045525</v>
      </c>
      <c r="L11" s="317">
        <v>46.531948392428419</v>
      </c>
    </row>
    <row r="12" spans="2:12" ht="15" customHeight="1" x14ac:dyDescent="0.2">
      <c r="B12" s="1122"/>
      <c r="C12" s="170" t="s">
        <v>224</v>
      </c>
      <c r="D12" s="316">
        <v>44.753326322527542</v>
      </c>
      <c r="E12" s="316">
        <v>45.386088909439195</v>
      </c>
      <c r="F12" s="316">
        <v>44.850043221543373</v>
      </c>
      <c r="G12" s="316">
        <v>41.85105799014547</v>
      </c>
      <c r="H12" s="316">
        <v>36.172688654191965</v>
      </c>
      <c r="I12" s="316">
        <v>30.397650712443262</v>
      </c>
      <c r="J12" s="316">
        <v>27.028748606596537</v>
      </c>
      <c r="K12" s="316">
        <v>22.538569493072789</v>
      </c>
      <c r="L12" s="317">
        <v>36.188515343914268</v>
      </c>
    </row>
    <row r="13" spans="2:12" ht="15" customHeight="1" x14ac:dyDescent="0.2">
      <c r="B13" s="1114" t="s">
        <v>226</v>
      </c>
      <c r="C13" s="170" t="s">
        <v>223</v>
      </c>
      <c r="D13" s="316">
        <v>63.557992379178948</v>
      </c>
      <c r="E13" s="316">
        <v>65.838676851023138</v>
      </c>
      <c r="F13" s="316">
        <v>63.040081559379878</v>
      </c>
      <c r="G13" s="316">
        <v>54.572716765413332</v>
      </c>
      <c r="H13" s="316">
        <v>38.634058765486238</v>
      </c>
      <c r="I13" s="316">
        <v>29.049473281646559</v>
      </c>
      <c r="J13" s="316">
        <v>25.093618719942214</v>
      </c>
      <c r="K13" s="316">
        <v>17.259972280761708</v>
      </c>
      <c r="L13" s="317">
        <v>47.716066886830724</v>
      </c>
    </row>
    <row r="14" spans="2:12" ht="15" customHeight="1" x14ac:dyDescent="0.2">
      <c r="B14" s="1122"/>
      <c r="C14" s="170" t="s">
        <v>224</v>
      </c>
      <c r="D14" s="316">
        <v>44.520679640142887</v>
      </c>
      <c r="E14" s="316">
        <v>44.863268384930841</v>
      </c>
      <c r="F14" s="316">
        <v>45.021671029481183</v>
      </c>
      <c r="G14" s="316">
        <v>41.278760309264207</v>
      </c>
      <c r="H14" s="316">
        <v>36.43280159521435</v>
      </c>
      <c r="I14" s="316">
        <v>32.291814733629096</v>
      </c>
      <c r="J14" s="316">
        <v>29.917304013506886</v>
      </c>
      <c r="K14" s="316">
        <v>26.203466311147576</v>
      </c>
      <c r="L14" s="317">
        <v>36.131895086937824</v>
      </c>
    </row>
    <row r="15" spans="2:12" ht="15" customHeight="1" x14ac:dyDescent="0.2">
      <c r="B15" s="1114" t="s">
        <v>227</v>
      </c>
      <c r="C15" s="170" t="s">
        <v>223</v>
      </c>
      <c r="D15" s="316">
        <v>63.189394242817833</v>
      </c>
      <c r="E15" s="316">
        <v>66.047283940855536</v>
      </c>
      <c r="F15" s="316">
        <v>62.128814377035333</v>
      </c>
      <c r="G15" s="316">
        <v>50.959724676774258</v>
      </c>
      <c r="H15" s="316">
        <v>34.096770615233154</v>
      </c>
      <c r="I15" s="316">
        <v>26.179440937781784</v>
      </c>
      <c r="J15" s="316">
        <v>23.050271017111275</v>
      </c>
      <c r="K15" s="316">
        <v>14.208433813465424</v>
      </c>
      <c r="L15" s="317">
        <v>45.106276089478349</v>
      </c>
    </row>
    <row r="16" spans="2:12" ht="15" customHeight="1" x14ac:dyDescent="0.2">
      <c r="B16" s="1122"/>
      <c r="C16" s="170" t="s">
        <v>224</v>
      </c>
      <c r="D16" s="316">
        <v>49.263765920174237</v>
      </c>
      <c r="E16" s="316">
        <v>52.317016317016318</v>
      </c>
      <c r="F16" s="316">
        <v>50.360491294064005</v>
      </c>
      <c r="G16" s="316">
        <v>47.682344047010432</v>
      </c>
      <c r="H16" s="316">
        <v>41.470377582196626</v>
      </c>
      <c r="I16" s="316">
        <v>34.661542816918647</v>
      </c>
      <c r="J16" s="316">
        <v>30.097306626770809</v>
      </c>
      <c r="K16" s="316">
        <v>19.699565516017252</v>
      </c>
      <c r="L16" s="317">
        <v>39.57133113776262</v>
      </c>
    </row>
    <row r="17" spans="2:12" ht="15" customHeight="1" x14ac:dyDescent="0.2">
      <c r="B17" s="1114" t="s">
        <v>228</v>
      </c>
      <c r="C17" s="170" t="s">
        <v>223</v>
      </c>
      <c r="D17" s="316">
        <v>62.268542799914087</v>
      </c>
      <c r="E17" s="316">
        <v>66.927840790480829</v>
      </c>
      <c r="F17" s="316">
        <v>63.920775748546802</v>
      </c>
      <c r="G17" s="316">
        <v>52.418720231932085</v>
      </c>
      <c r="H17" s="316">
        <v>33.101063962770233</v>
      </c>
      <c r="I17" s="316">
        <v>24.355407160081619</v>
      </c>
      <c r="J17" s="316">
        <v>22.390430800859733</v>
      </c>
      <c r="K17" s="316">
        <v>13.592493747587156</v>
      </c>
      <c r="L17" s="317">
        <v>44.441223273495282</v>
      </c>
    </row>
    <row r="18" spans="2:12" ht="15" customHeight="1" x14ac:dyDescent="0.2">
      <c r="B18" s="1115"/>
      <c r="C18" s="171" t="s">
        <v>224</v>
      </c>
      <c r="D18" s="319">
        <v>41.218399928720125</v>
      </c>
      <c r="E18" s="319">
        <v>50.822960725075525</v>
      </c>
      <c r="F18" s="319">
        <v>49.800190294957183</v>
      </c>
      <c r="G18" s="319">
        <v>41.673803927817396</v>
      </c>
      <c r="H18" s="319">
        <v>29.14175304098513</v>
      </c>
      <c r="I18" s="319">
        <v>23.439103485078611</v>
      </c>
      <c r="J18" s="319">
        <v>21.066951095698201</v>
      </c>
      <c r="K18" s="319">
        <v>17.435615617115879</v>
      </c>
      <c r="L18" s="320">
        <v>31.74704234176836</v>
      </c>
    </row>
    <row r="19" spans="2:12" ht="15" customHeight="1" x14ac:dyDescent="0.2">
      <c r="B19" s="1114" t="s">
        <v>333</v>
      </c>
      <c r="C19" s="170" t="s">
        <v>223</v>
      </c>
      <c r="D19" s="316">
        <v>64.447653614149885</v>
      </c>
      <c r="E19" s="316">
        <v>68.99259348467514</v>
      </c>
      <c r="F19" s="316">
        <v>66.255345742399555</v>
      </c>
      <c r="G19" s="316">
        <v>54.856465189424696</v>
      </c>
      <c r="H19" s="316">
        <v>30.621926458894645</v>
      </c>
      <c r="I19" s="316">
        <v>21.714393110989612</v>
      </c>
      <c r="J19" s="316">
        <v>20.720487714760761</v>
      </c>
      <c r="K19" s="316">
        <v>15.877085042384467</v>
      </c>
      <c r="L19" s="317">
        <v>45.995474992015218</v>
      </c>
    </row>
    <row r="20" spans="2:12" ht="15" customHeight="1" x14ac:dyDescent="0.2">
      <c r="B20" s="1122"/>
      <c r="C20" s="170" t="s">
        <v>224</v>
      </c>
      <c r="D20" s="316">
        <v>35.648607376856617</v>
      </c>
      <c r="E20" s="316">
        <v>43.259150266691186</v>
      </c>
      <c r="F20" s="316">
        <v>43.601790873831888</v>
      </c>
      <c r="G20" s="316">
        <v>42.50190653483547</v>
      </c>
      <c r="H20" s="316">
        <v>40.475619430658824</v>
      </c>
      <c r="I20" s="316">
        <v>40.049575835198119</v>
      </c>
      <c r="J20" s="316">
        <v>39.561776770954509</v>
      </c>
      <c r="K20" s="316">
        <v>27.812282085204277</v>
      </c>
      <c r="L20" s="317">
        <v>39.074189509462386</v>
      </c>
    </row>
    <row r="21" spans="2:12" ht="15" customHeight="1" x14ac:dyDescent="0.2">
      <c r="B21" s="1114" t="s">
        <v>334</v>
      </c>
      <c r="C21" s="170" t="s">
        <v>223</v>
      </c>
      <c r="D21" s="316">
        <v>61.10178268438333</v>
      </c>
      <c r="E21" s="316">
        <v>67.582516467299357</v>
      </c>
      <c r="F21" s="316">
        <v>66.620337917865172</v>
      </c>
      <c r="G21" s="316">
        <v>58.245930343428739</v>
      </c>
      <c r="H21" s="316">
        <v>35.727401612462423</v>
      </c>
      <c r="I21" s="316">
        <v>25.705594215293704</v>
      </c>
      <c r="J21" s="316">
        <v>23.744245939204671</v>
      </c>
      <c r="K21" s="316">
        <v>16.648170512778666</v>
      </c>
      <c r="L21" s="317">
        <v>48.209412160017919</v>
      </c>
    </row>
    <row r="22" spans="2:12" ht="15" customHeight="1" x14ac:dyDescent="0.2">
      <c r="B22" s="1122"/>
      <c r="C22" s="170" t="s">
        <v>224</v>
      </c>
      <c r="D22" s="316">
        <v>32.208184478265963</v>
      </c>
      <c r="E22" s="316">
        <v>35.381957126401261</v>
      </c>
      <c r="F22" s="316">
        <v>37.134616631019504</v>
      </c>
      <c r="G22" s="316">
        <v>40.95945303035505</v>
      </c>
      <c r="H22" s="316">
        <v>38.474780283276438</v>
      </c>
      <c r="I22" s="316">
        <v>32.595969702594658</v>
      </c>
      <c r="J22" s="316">
        <v>29.12968732273913</v>
      </c>
      <c r="K22" s="316">
        <v>17.727356315335324</v>
      </c>
      <c r="L22" s="317">
        <v>33.734821466307316</v>
      </c>
    </row>
    <row r="23" spans="2:12" ht="15" customHeight="1" x14ac:dyDescent="0.2">
      <c r="B23" s="1114" t="s">
        <v>231</v>
      </c>
      <c r="C23" s="170" t="s">
        <v>223</v>
      </c>
      <c r="D23" s="316">
        <v>56.993263556964216</v>
      </c>
      <c r="E23" s="316">
        <v>64.104986730766555</v>
      </c>
      <c r="F23" s="316">
        <v>64.610683257050454</v>
      </c>
      <c r="G23" s="316">
        <v>59.710657679364786</v>
      </c>
      <c r="H23" s="316">
        <v>36.993395212077331</v>
      </c>
      <c r="I23" s="316">
        <v>23.360271517913301</v>
      </c>
      <c r="J23" s="316">
        <v>22.448694029850746</v>
      </c>
      <c r="K23" s="316">
        <v>17.261778250088557</v>
      </c>
      <c r="L23" s="317">
        <v>47.474696065110891</v>
      </c>
    </row>
    <row r="24" spans="2:12" ht="15" customHeight="1" x14ac:dyDescent="0.2">
      <c r="B24" s="1122"/>
      <c r="C24" s="170" t="s">
        <v>224</v>
      </c>
      <c r="D24" s="316">
        <v>33.636220849544131</v>
      </c>
      <c r="E24" s="316">
        <v>35.731184558806298</v>
      </c>
      <c r="F24" s="316">
        <v>33.762276120953558</v>
      </c>
      <c r="G24" s="316">
        <v>36.430589604022103</v>
      </c>
      <c r="H24" s="316">
        <v>43.665184919309198</v>
      </c>
      <c r="I24" s="316">
        <v>46.049928231685008</v>
      </c>
      <c r="J24" s="316">
        <v>48.067031864179974</v>
      </c>
      <c r="K24" s="316">
        <v>43.283318363199982</v>
      </c>
      <c r="L24" s="317">
        <v>39.56981033362414</v>
      </c>
    </row>
    <row r="25" spans="2:12" ht="15" customHeight="1" x14ac:dyDescent="0.2">
      <c r="B25" s="1114" t="s">
        <v>232</v>
      </c>
      <c r="C25" s="170" t="s">
        <v>223</v>
      </c>
      <c r="D25" s="316">
        <v>58.221801012903583</v>
      </c>
      <c r="E25" s="316">
        <v>65.585257189145409</v>
      </c>
      <c r="F25" s="316">
        <v>67.188479534820331</v>
      </c>
      <c r="G25" s="316">
        <v>65.938669130395112</v>
      </c>
      <c r="H25" s="316">
        <v>54.209072978303752</v>
      </c>
      <c r="I25" s="316">
        <v>36.910022203169994</v>
      </c>
      <c r="J25" s="316">
        <v>28.877371558419323</v>
      </c>
      <c r="K25" s="316">
        <v>22.132972889130169</v>
      </c>
      <c r="L25" s="317">
        <v>54.712512606020312</v>
      </c>
    </row>
    <row r="26" spans="2:12" ht="15" customHeight="1" x14ac:dyDescent="0.2">
      <c r="B26" s="1122"/>
      <c r="C26" s="170" t="s">
        <v>224</v>
      </c>
      <c r="D26" s="316">
        <v>35.550865782962262</v>
      </c>
      <c r="E26" s="316">
        <v>38.506560842340363</v>
      </c>
      <c r="F26" s="316">
        <v>35.625657202944275</v>
      </c>
      <c r="G26" s="316">
        <v>35.062777460032137</v>
      </c>
      <c r="H26" s="316">
        <v>43.480898036622875</v>
      </c>
      <c r="I26" s="316">
        <v>46.579831713861459</v>
      </c>
      <c r="J26" s="316">
        <v>47.842863875579297</v>
      </c>
      <c r="K26" s="316">
        <v>33.238245308990798</v>
      </c>
      <c r="L26" s="317">
        <v>39.278661088897394</v>
      </c>
    </row>
    <row r="27" spans="2:12" ht="15" customHeight="1" x14ac:dyDescent="0.2">
      <c r="B27" s="1114" t="s">
        <v>233</v>
      </c>
      <c r="C27" s="170" t="s">
        <v>223</v>
      </c>
      <c r="D27" s="316">
        <v>42.695460702432385</v>
      </c>
      <c r="E27" s="316">
        <v>48.459886022688941</v>
      </c>
      <c r="F27" s="316">
        <v>49.706987227648384</v>
      </c>
      <c r="G27" s="316">
        <v>48.837051355728541</v>
      </c>
      <c r="H27" s="316">
        <v>40.694371068868932</v>
      </c>
      <c r="I27" s="316">
        <v>28.212979890310784</v>
      </c>
      <c r="J27" s="316">
        <v>23.38172812578102</v>
      </c>
      <c r="K27" s="316">
        <v>18.536139815143006</v>
      </c>
      <c r="L27" s="317">
        <v>39.967822642456156</v>
      </c>
    </row>
    <row r="28" spans="2:12" ht="15" customHeight="1" x14ac:dyDescent="0.2">
      <c r="B28" s="1115"/>
      <c r="C28" s="171" t="s">
        <v>224</v>
      </c>
      <c r="D28" s="319">
        <v>35.064044916510703</v>
      </c>
      <c r="E28" s="319">
        <v>41.126608960846752</v>
      </c>
      <c r="F28" s="319">
        <v>39.607913976858939</v>
      </c>
      <c r="G28" s="319">
        <v>37.463287813118022</v>
      </c>
      <c r="H28" s="319">
        <v>47.995454919227647</v>
      </c>
      <c r="I28" s="319">
        <v>60.170770827436549</v>
      </c>
      <c r="J28" s="319">
        <v>66.032477209824464</v>
      </c>
      <c r="K28" s="319">
        <v>46.04974519928453</v>
      </c>
      <c r="L28" s="320">
        <v>42.279384405264103</v>
      </c>
    </row>
  </sheetData>
  <mergeCells count="13">
    <mergeCell ref="B27:B28"/>
    <mergeCell ref="B5:C6"/>
    <mergeCell ref="D5:L5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7:B8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526A1F35-95C0-440B-9292-082118325811}">
            <xm:f>Sheet1!$D$4</xm:f>
            <xm:f>Sheet1!$E$4</xm:f>
            <x14:dxf>
              <numFmt numFmtId="173" formatCode="&quot;&lt; 1&quot;"/>
            </x14:dxf>
          </x14:cfRule>
          <xm:sqref>D7:L28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8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261</v>
      </c>
      <c r="C3" t="s">
        <v>870</v>
      </c>
    </row>
    <row r="5" spans="2:6" ht="15" customHeight="1" x14ac:dyDescent="0.2">
      <c r="B5" s="1085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123"/>
      <c r="C6" s="34" t="s">
        <v>326</v>
      </c>
      <c r="D6" s="34" t="s">
        <v>326</v>
      </c>
      <c r="E6" s="3" t="s">
        <v>82</v>
      </c>
      <c r="F6" s="35" t="s">
        <v>326</v>
      </c>
    </row>
    <row r="7" spans="2:6" ht="15" customHeight="1" x14ac:dyDescent="0.2">
      <c r="B7" s="144" t="str">
        <f>Index!$B$4</f>
        <v>England</v>
      </c>
      <c r="C7" s="134"/>
      <c r="D7" s="134"/>
      <c r="E7" s="134"/>
      <c r="F7" s="134"/>
    </row>
    <row r="8" spans="2:6" ht="15" customHeight="1" x14ac:dyDescent="0.2">
      <c r="B8" s="42" t="s">
        <v>332</v>
      </c>
      <c r="C8" s="137">
        <f>'Section 10 chart data'!D20</f>
        <v>25206.851999999999</v>
      </c>
      <c r="D8" s="138">
        <f>'Section 10 chart data'!J20</f>
        <v>60358.002999999997</v>
      </c>
      <c r="E8" s="900">
        <f>'Section 10 chart data'!K20</f>
        <v>2.4778473672803769</v>
      </c>
      <c r="F8" s="139">
        <f>SUM(C8,D8)</f>
        <v>85564.854999999996</v>
      </c>
    </row>
    <row r="9" spans="2:6" ht="15" customHeight="1" x14ac:dyDescent="0.2">
      <c r="B9" s="42" t="s">
        <v>222</v>
      </c>
      <c r="C9" s="137">
        <f>'Section 10 chart data'!D21</f>
        <v>25788.648000000001</v>
      </c>
      <c r="D9" s="138">
        <f>'Section 10 chart data'!J21</f>
        <v>56343.733999999997</v>
      </c>
      <c r="E9" s="900">
        <f>'Section 10 chart data'!K21</f>
        <v>2.4858089502887339</v>
      </c>
      <c r="F9" s="139">
        <f t="shared" ref="F9:F17" si="0">SUM(C9,D9)</f>
        <v>82132.381999999998</v>
      </c>
    </row>
    <row r="10" spans="2:6" ht="15" customHeight="1" x14ac:dyDescent="0.2">
      <c r="B10" s="42" t="s">
        <v>225</v>
      </c>
      <c r="C10" s="137">
        <f>'Section 10 chart data'!D22</f>
        <v>25916.34</v>
      </c>
      <c r="D10" s="138">
        <f>'Section 10 chart data'!J22</f>
        <v>49719.667999999998</v>
      </c>
      <c r="E10" s="900">
        <f>'Section 10 chart data'!K22</f>
        <v>2.694468960883047</v>
      </c>
      <c r="F10" s="139">
        <f t="shared" si="0"/>
        <v>75636.008000000002</v>
      </c>
    </row>
    <row r="11" spans="2:6" ht="15" customHeight="1" x14ac:dyDescent="0.2">
      <c r="B11" s="42" t="s">
        <v>226</v>
      </c>
      <c r="C11" s="137">
        <f>'Section 10 chart data'!D23</f>
        <v>25851.19</v>
      </c>
      <c r="D11" s="138">
        <f>'Section 10 chart data'!J23</f>
        <v>42418.332999999999</v>
      </c>
      <c r="E11" s="900">
        <f>'Section 10 chart data'!K23</f>
        <v>2.99754067194629</v>
      </c>
      <c r="F11" s="139">
        <f t="shared" si="0"/>
        <v>68269.523000000001</v>
      </c>
    </row>
    <row r="12" spans="2:6" ht="15" customHeight="1" x14ac:dyDescent="0.2">
      <c r="B12" s="42" t="s">
        <v>227</v>
      </c>
      <c r="C12" s="137">
        <f>'Section 10 chart data'!D24</f>
        <v>25799.938999999998</v>
      </c>
      <c r="D12" s="138">
        <f>'Section 10 chart data'!J24</f>
        <v>35035.298999999999</v>
      </c>
      <c r="E12" s="900">
        <f>'Section 10 chart data'!K24</f>
        <v>3.2786599466385384</v>
      </c>
      <c r="F12" s="139">
        <f t="shared" si="0"/>
        <v>60835.237999999998</v>
      </c>
    </row>
    <row r="13" spans="2:6" ht="15" customHeight="1" x14ac:dyDescent="0.2">
      <c r="B13" s="42" t="s">
        <v>228</v>
      </c>
      <c r="C13" s="137">
        <f>'Section 10 chart data'!D25</f>
        <v>25945.727999999999</v>
      </c>
      <c r="D13" s="138">
        <f>'Section 10 chart data'!J25</f>
        <v>29809.145</v>
      </c>
      <c r="E13" s="900">
        <f>'Section 10 chart data'!K25</f>
        <v>3.3486614035387512</v>
      </c>
      <c r="F13" s="139">
        <f t="shared" si="0"/>
        <v>55754.873</v>
      </c>
    </row>
    <row r="14" spans="2:6" ht="15" customHeight="1" x14ac:dyDescent="0.2">
      <c r="B14" s="42" t="s">
        <v>333</v>
      </c>
      <c r="C14" s="137">
        <f>'Section 10 chart data'!D26</f>
        <v>26005.738000000001</v>
      </c>
      <c r="D14" s="138">
        <f>'Section 10 chart data'!J26</f>
        <v>26772.332999999999</v>
      </c>
      <c r="E14" s="900">
        <f>'Section 10 chart data'!K26</f>
        <v>3.3947765787834729</v>
      </c>
      <c r="F14" s="139">
        <f t="shared" si="0"/>
        <v>52778.070999999996</v>
      </c>
    </row>
    <row r="15" spans="2:6" ht="15" customHeight="1" x14ac:dyDescent="0.2">
      <c r="B15" s="42" t="s">
        <v>334</v>
      </c>
      <c r="C15" s="137">
        <f>'Section 10 chart data'!D27</f>
        <v>26504.087</v>
      </c>
      <c r="D15" s="138">
        <f>'Section 10 chart data'!J27</f>
        <v>26468.185000000001</v>
      </c>
      <c r="E15" s="900">
        <f>'Section 10 chart data'!K27</f>
        <v>3.2433207572337075</v>
      </c>
      <c r="F15" s="139">
        <f t="shared" si="0"/>
        <v>52972.271999999997</v>
      </c>
    </row>
    <row r="16" spans="2:6" ht="15" customHeight="1" x14ac:dyDescent="0.2">
      <c r="B16" s="42" t="s">
        <v>231</v>
      </c>
      <c r="C16" s="137">
        <f>'Section 10 chart data'!D28</f>
        <v>27377.896000000001</v>
      </c>
      <c r="D16" s="138">
        <f>'Section 10 chart data'!J28</f>
        <v>28290.923999999999</v>
      </c>
      <c r="E16" s="900">
        <f>'Section 10 chart data'!K28</f>
        <v>2.9939203892655564</v>
      </c>
      <c r="F16" s="139">
        <f t="shared" si="0"/>
        <v>55668.82</v>
      </c>
    </row>
    <row r="17" spans="2:6" ht="15" customHeight="1" x14ac:dyDescent="0.2">
      <c r="B17" s="46" t="s">
        <v>232</v>
      </c>
      <c r="C17" s="137">
        <f>'Section 10 chart data'!D29</f>
        <v>28016.442999999999</v>
      </c>
      <c r="D17" s="138">
        <f>'Section 10 chart data'!J29</f>
        <v>30517.106</v>
      </c>
      <c r="E17" s="900">
        <f>'Section 10 chart data'!K29</f>
        <v>2.7124868799663289</v>
      </c>
      <c r="F17" s="139">
        <f t="shared" si="0"/>
        <v>58533.548999999999</v>
      </c>
    </row>
    <row r="18" spans="2:6" ht="15" customHeight="1" x14ac:dyDescent="0.2">
      <c r="B18" s="46" t="s">
        <v>233</v>
      </c>
      <c r="C18" s="137">
        <f>'Section 10 chart data'!D30</f>
        <v>28408.289000000001</v>
      </c>
      <c r="D18" s="138">
        <f>'Section 10 chart data'!J30</f>
        <v>33765.203000000001</v>
      </c>
      <c r="E18" s="900">
        <f>'Section 10 chart data'!K30</f>
        <v>2.4572213457943408</v>
      </c>
      <c r="F18" s="140">
        <f>SUM(C18,D18)</f>
        <v>62173.491999999998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53B5A53-5B27-464E-9EA7-974FF2545FEF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269B6F83-9288-473A-B8A8-E875004BE398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263</v>
      </c>
      <c r="C3" t="s">
        <v>871</v>
      </c>
    </row>
    <row r="5" spans="2:6" ht="15" customHeight="1" x14ac:dyDescent="0.2">
      <c r="B5" s="1124"/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085"/>
      <c r="C6" s="34" t="s">
        <v>326</v>
      </c>
      <c r="D6" s="34" t="s">
        <v>326</v>
      </c>
      <c r="E6" s="3" t="s">
        <v>82</v>
      </c>
      <c r="F6" s="35" t="s">
        <v>230</v>
      </c>
    </row>
    <row r="7" spans="2:6" ht="15" customHeight="1" x14ac:dyDescent="0.2">
      <c r="B7" s="144" t="str">
        <f>Index!$B$4</f>
        <v>England</v>
      </c>
      <c r="C7" s="134"/>
      <c r="D7" s="134"/>
      <c r="E7" s="134"/>
      <c r="F7" s="134"/>
    </row>
    <row r="8" spans="2:6" ht="15" customHeight="1" x14ac:dyDescent="0.2">
      <c r="B8" s="42" t="s">
        <v>332</v>
      </c>
      <c r="C8" s="137">
        <f>'Section 10 chart data'!D35</f>
        <v>1218.615</v>
      </c>
      <c r="D8" s="138">
        <v>2181.4549999999999</v>
      </c>
      <c r="E8" s="900">
        <v>2.2712903245285849</v>
      </c>
      <c r="F8" s="139">
        <f>SUM(C8,D8)</f>
        <v>3400.0699999999997</v>
      </c>
    </row>
    <row r="9" spans="2:6" ht="15" customHeight="1" x14ac:dyDescent="0.2">
      <c r="B9" s="42" t="s">
        <v>222</v>
      </c>
      <c r="C9" s="137">
        <f>'Section 10 chart data'!D36</f>
        <v>1245.604</v>
      </c>
      <c r="D9" s="138">
        <v>2035.2639999999999</v>
      </c>
      <c r="E9" s="900">
        <v>2.4124181438927663</v>
      </c>
      <c r="F9" s="139">
        <f t="shared" ref="F9:F17" si="0">SUM(C9,D9)</f>
        <v>3280.8679999999999</v>
      </c>
    </row>
    <row r="10" spans="2:6" ht="15" customHeight="1" x14ac:dyDescent="0.2">
      <c r="B10" s="42" t="s">
        <v>225</v>
      </c>
      <c r="C10" s="137">
        <f>'Section 10 chart data'!D37</f>
        <v>1158.376</v>
      </c>
      <c r="D10" s="138">
        <v>1746.633</v>
      </c>
      <c r="E10" s="900">
        <v>2.6934111673133252</v>
      </c>
      <c r="F10" s="139">
        <f t="shared" si="0"/>
        <v>2905.009</v>
      </c>
    </row>
    <row r="11" spans="2:6" ht="15" customHeight="1" x14ac:dyDescent="0.2">
      <c r="B11" s="42" t="s">
        <v>226</v>
      </c>
      <c r="C11" s="137">
        <f>'Section 10 chart data'!D38</f>
        <v>1133.123</v>
      </c>
      <c r="D11" s="138">
        <v>1547.9090000000001</v>
      </c>
      <c r="E11" s="900">
        <v>2.8718246800328839</v>
      </c>
      <c r="F11" s="139">
        <f t="shared" si="0"/>
        <v>2681.0320000000002</v>
      </c>
    </row>
    <row r="12" spans="2:6" ht="15" customHeight="1" x14ac:dyDescent="0.2">
      <c r="B12" s="42" t="s">
        <v>227</v>
      </c>
      <c r="C12" s="137">
        <f>'Section 10 chart data'!D39</f>
        <v>1113.4159999999999</v>
      </c>
      <c r="D12" s="138">
        <v>1406.9659999999999</v>
      </c>
      <c r="E12" s="900">
        <v>2.986483809187698</v>
      </c>
      <c r="F12" s="139">
        <f t="shared" si="0"/>
        <v>2520.3819999999996</v>
      </c>
    </row>
    <row r="13" spans="2:6" ht="15" customHeight="1" x14ac:dyDescent="0.2">
      <c r="B13" s="42" t="s">
        <v>355</v>
      </c>
      <c r="C13" s="137">
        <f>'Section 10 chart data'!D40</f>
        <v>1127.173</v>
      </c>
      <c r="D13" s="138">
        <v>1406.7560000000001</v>
      </c>
      <c r="E13" s="900">
        <v>2.8924658715510452</v>
      </c>
      <c r="F13" s="139">
        <f t="shared" si="0"/>
        <v>2533.9290000000001</v>
      </c>
    </row>
    <row r="14" spans="2:6" ht="15" customHeight="1" x14ac:dyDescent="0.2">
      <c r="B14" s="42" t="s">
        <v>333</v>
      </c>
      <c r="C14" s="137">
        <f>'Section 10 chart data'!D41</f>
        <v>1144.18</v>
      </c>
      <c r="D14" s="138">
        <v>1507.913</v>
      </c>
      <c r="E14" s="900">
        <v>2.7579837707435275</v>
      </c>
      <c r="F14" s="139">
        <f t="shared" si="0"/>
        <v>2652.0929999999998</v>
      </c>
    </row>
    <row r="15" spans="2:6" ht="15" customHeight="1" x14ac:dyDescent="0.2">
      <c r="B15" s="42" t="s">
        <v>334</v>
      </c>
      <c r="C15" s="137">
        <f>'Section 10 chart data'!D42</f>
        <v>1169.204</v>
      </c>
      <c r="D15" s="138">
        <v>1688.3330000000001</v>
      </c>
      <c r="E15" s="900">
        <v>2.5349031858724986</v>
      </c>
      <c r="F15" s="139">
        <f t="shared" si="0"/>
        <v>2857.5370000000003</v>
      </c>
    </row>
    <row r="16" spans="2:6" ht="15" customHeight="1" x14ac:dyDescent="0.2">
      <c r="B16" s="42" t="s">
        <v>231</v>
      </c>
      <c r="C16" s="137">
        <f>'Section 10 chart data'!D43</f>
        <v>1192.557</v>
      </c>
      <c r="D16" s="138">
        <v>1891.8689999999999</v>
      </c>
      <c r="E16" s="900">
        <v>2.3065075244665842</v>
      </c>
      <c r="F16" s="139">
        <f t="shared" si="0"/>
        <v>3084.4259999999999</v>
      </c>
    </row>
    <row r="17" spans="2:6" ht="15" customHeight="1" x14ac:dyDescent="0.2">
      <c r="B17" s="46" t="s">
        <v>232</v>
      </c>
      <c r="C17" s="137">
        <f>'Section 10 chart data'!D44</f>
        <v>1227.096</v>
      </c>
      <c r="D17" s="138">
        <v>2071.4290000000001</v>
      </c>
      <c r="E17" s="900">
        <v>2.1127895014616009</v>
      </c>
      <c r="F17" s="139">
        <f t="shared" si="0"/>
        <v>3298.5250000000001</v>
      </c>
    </row>
    <row r="18" spans="2:6" ht="15" customHeight="1" x14ac:dyDescent="0.2">
      <c r="B18" s="46" t="s">
        <v>233</v>
      </c>
      <c r="C18" s="137">
        <f>'Section 10 chart data'!D45</f>
        <v>1242.3599999999999</v>
      </c>
      <c r="D18" s="138">
        <v>2184.9119999999998</v>
      </c>
      <c r="E18" s="900">
        <v>1.9985193530840843</v>
      </c>
      <c r="F18" s="140">
        <f>SUM(C18,D18)</f>
        <v>3427.2719999999999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373B98-590D-40C5-80C8-C5434E417600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664A4D11-C049-4AC6-A0FB-C091ADB7A62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AI142"/>
  <sheetViews>
    <sheetView topLeftCell="A13" zoomScaleNormal="100"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265</v>
      </c>
      <c r="C3" t="s">
        <v>885</v>
      </c>
    </row>
    <row r="5" spans="2:35" ht="15" customHeight="1" x14ac:dyDescent="0.2">
      <c r="B5" s="1109" t="s">
        <v>380</v>
      </c>
      <c r="C5" s="1089" t="s">
        <v>332</v>
      </c>
      <c r="D5" s="1089"/>
      <c r="E5" s="1089"/>
      <c r="F5" s="1089" t="s">
        <v>222</v>
      </c>
      <c r="G5" s="1089"/>
      <c r="H5" s="1089"/>
      <c r="I5" s="1018" t="s">
        <v>225</v>
      </c>
      <c r="J5" s="1019"/>
      <c r="K5" s="1021"/>
      <c r="L5" s="1018" t="s">
        <v>226</v>
      </c>
      <c r="M5" s="1019"/>
      <c r="N5" s="1021"/>
      <c r="O5" s="1018" t="s">
        <v>227</v>
      </c>
      <c r="P5" s="1019"/>
      <c r="Q5" s="1021"/>
      <c r="R5" s="1018" t="s">
        <v>228</v>
      </c>
      <c r="S5" s="1019"/>
      <c r="T5" s="1021"/>
      <c r="U5" s="1018" t="s">
        <v>333</v>
      </c>
      <c r="V5" s="1019"/>
      <c r="W5" s="1021"/>
      <c r="X5" s="1018" t="s">
        <v>334</v>
      </c>
      <c r="Y5" s="1019"/>
      <c r="Z5" s="1021"/>
      <c r="AA5" s="1018" t="s">
        <v>231</v>
      </c>
      <c r="AB5" s="1019"/>
      <c r="AC5" s="1021"/>
      <c r="AD5" s="1018" t="s">
        <v>232</v>
      </c>
      <c r="AE5" s="1019"/>
      <c r="AF5" s="1021"/>
      <c r="AG5" s="1018" t="s">
        <v>233</v>
      </c>
      <c r="AH5" s="1019"/>
      <c r="AI5" s="1019"/>
    </row>
    <row r="6" spans="2:35" ht="15" customHeight="1" x14ac:dyDescent="0.2">
      <c r="B6" s="1110"/>
      <c r="C6" s="732" t="s">
        <v>78</v>
      </c>
      <c r="D6" s="1091" t="s">
        <v>79</v>
      </c>
      <c r="E6" s="1091"/>
      <c r="F6" s="732" t="s">
        <v>78</v>
      </c>
      <c r="G6" s="1091" t="s">
        <v>79</v>
      </c>
      <c r="H6" s="1091"/>
      <c r="I6" s="732" t="s">
        <v>78</v>
      </c>
      <c r="J6" s="1013" t="s">
        <v>79</v>
      </c>
      <c r="K6" s="1020"/>
      <c r="L6" s="732" t="s">
        <v>78</v>
      </c>
      <c r="M6" s="1013" t="s">
        <v>79</v>
      </c>
      <c r="N6" s="1020"/>
      <c r="O6" s="732" t="s">
        <v>78</v>
      </c>
      <c r="P6" s="1013" t="s">
        <v>79</v>
      </c>
      <c r="Q6" s="1020"/>
      <c r="R6" s="732" t="s">
        <v>78</v>
      </c>
      <c r="S6" s="1013" t="s">
        <v>79</v>
      </c>
      <c r="T6" s="1020"/>
      <c r="U6" s="732" t="s">
        <v>78</v>
      </c>
      <c r="V6" s="1013" t="s">
        <v>79</v>
      </c>
      <c r="W6" s="1020"/>
      <c r="X6" s="732" t="s">
        <v>78</v>
      </c>
      <c r="Y6" s="1013" t="s">
        <v>79</v>
      </c>
      <c r="Z6" s="1020"/>
      <c r="AA6" s="732" t="s">
        <v>78</v>
      </c>
      <c r="AB6" s="1013" t="s">
        <v>79</v>
      </c>
      <c r="AC6" s="1020"/>
      <c r="AD6" s="732" t="s">
        <v>78</v>
      </c>
      <c r="AE6" s="1013" t="s">
        <v>79</v>
      </c>
      <c r="AF6" s="1020"/>
      <c r="AG6" s="732" t="s">
        <v>78</v>
      </c>
      <c r="AH6" s="1013" t="s">
        <v>79</v>
      </c>
      <c r="AI6" s="1014"/>
    </row>
    <row r="7" spans="2:35" ht="30" customHeight="1" x14ac:dyDescent="0.2">
      <c r="B7" s="1110"/>
      <c r="C7" s="1090" t="s">
        <v>326</v>
      </c>
      <c r="D7" s="1090"/>
      <c r="E7" s="130" t="s">
        <v>82</v>
      </c>
      <c r="F7" s="1090" t="s">
        <v>326</v>
      </c>
      <c r="G7" s="1090"/>
      <c r="H7" s="130" t="s">
        <v>82</v>
      </c>
      <c r="I7" s="1111" t="s">
        <v>326</v>
      </c>
      <c r="J7" s="1112"/>
      <c r="K7" s="130" t="s">
        <v>82</v>
      </c>
      <c r="L7" s="1111" t="s">
        <v>326</v>
      </c>
      <c r="M7" s="1112"/>
      <c r="N7" s="130" t="s">
        <v>82</v>
      </c>
      <c r="O7" s="1111" t="s">
        <v>326</v>
      </c>
      <c r="P7" s="1112"/>
      <c r="Q7" s="130" t="s">
        <v>82</v>
      </c>
      <c r="R7" s="1111" t="s">
        <v>326</v>
      </c>
      <c r="S7" s="1112"/>
      <c r="T7" s="130" t="s">
        <v>82</v>
      </c>
      <c r="U7" s="1111" t="s">
        <v>326</v>
      </c>
      <c r="V7" s="1112"/>
      <c r="W7" s="130" t="s">
        <v>82</v>
      </c>
      <c r="X7" s="1111" t="s">
        <v>326</v>
      </c>
      <c r="Y7" s="1112"/>
      <c r="Z7" s="130" t="s">
        <v>82</v>
      </c>
      <c r="AA7" s="1111" t="s">
        <v>326</v>
      </c>
      <c r="AB7" s="1112"/>
      <c r="AC7" s="130" t="s">
        <v>82</v>
      </c>
      <c r="AD7" s="1111" t="s">
        <v>326</v>
      </c>
      <c r="AE7" s="1112"/>
      <c r="AF7" s="130" t="s">
        <v>82</v>
      </c>
      <c r="AG7" s="1111" t="s">
        <v>326</v>
      </c>
      <c r="AH7" s="1112"/>
      <c r="AI7" s="131" t="s">
        <v>82</v>
      </c>
    </row>
    <row r="8" spans="2:35" ht="15" customHeight="1" x14ac:dyDescent="0.2">
      <c r="B8" s="759" t="str">
        <f>Index!$B$4</f>
        <v>England</v>
      </c>
      <c r="C8" s="760">
        <f>'Section 10 data country'!$C$6</f>
        <v>1357.6379999999999</v>
      </c>
      <c r="D8" s="760">
        <f>'Section 10 data country'!$C$26</f>
        <v>2957.9369999999999</v>
      </c>
      <c r="E8" s="761">
        <f>'Section 10 data country'!$D$26</f>
        <v>4.9175326735365372</v>
      </c>
      <c r="F8" s="760">
        <f>'Section 10 data country'!$F$6</f>
        <v>1146.115</v>
      </c>
      <c r="G8" s="760">
        <f>'Section 10 data country'!$E$26</f>
        <v>3264.904</v>
      </c>
      <c r="H8" s="761">
        <f>'Section 10 data country'!$F$26</f>
        <v>4.7723267050589984</v>
      </c>
      <c r="I8" s="760">
        <f>'Section 10 data country'!$E$6</f>
        <v>1122.9359999999999</v>
      </c>
      <c r="J8" s="760">
        <f>'Section 10 data country'!$G$26</f>
        <v>2956.4490000000001</v>
      </c>
      <c r="K8" s="761">
        <f>'Section 10 data country'!$H$26</f>
        <v>5.0877422572868625</v>
      </c>
      <c r="L8" s="760">
        <f>'Section 10 data country'!$F$6</f>
        <v>1146.115</v>
      </c>
      <c r="M8" s="760">
        <f>'Section 10 data country'!$I$26</f>
        <v>3052.6990000000001</v>
      </c>
      <c r="N8" s="761">
        <f>'Section 10 data country'!$J$26</f>
        <v>5.1812754658331821</v>
      </c>
      <c r="O8" s="760">
        <f>'Section 10 data country'!$G$6</f>
        <v>1094.79</v>
      </c>
      <c r="P8" s="760">
        <f>'Section 10 data country'!$K$26</f>
        <v>2910.4050000000002</v>
      </c>
      <c r="Q8" s="761">
        <f>'Section 10 data country'!$L$26</f>
        <v>5.8810833804531484</v>
      </c>
      <c r="R8" s="760">
        <f>'Section 10 data country'!$H$6</f>
        <v>1100.3589999999999</v>
      </c>
      <c r="S8" s="760">
        <f>'Section 10 data country'!$M$26</f>
        <v>2272.7440000000001</v>
      </c>
      <c r="T8" s="761">
        <f>'Section 10 data country'!$N$26</f>
        <v>6.3794291254089313</v>
      </c>
      <c r="U8" s="760">
        <f>'Section 10 data country'!$I$6</f>
        <v>1120.8820000000001</v>
      </c>
      <c r="V8" s="760">
        <f>'Section 10 data country'!$O$26</f>
        <v>1864.1179999999999</v>
      </c>
      <c r="W8" s="761">
        <f>'Section 10 data country'!$P$26</f>
        <v>6.0087275633713189</v>
      </c>
      <c r="X8" s="760">
        <f>'Section 10 data country'!$J$6</f>
        <v>1071.3800000000001</v>
      </c>
      <c r="Y8" s="760">
        <f>'Section 10 data country'!$Q$26</f>
        <v>1537.9449999999999</v>
      </c>
      <c r="Z8" s="761">
        <f>'Section 10 data country'!$R$26</f>
        <v>5.3753890135659841</v>
      </c>
      <c r="AA8" s="760">
        <f>'Section 10 data country'!$K$6</f>
        <v>903.81200000000001</v>
      </c>
      <c r="AB8" s="760">
        <f>'Section 10 data country'!$S$26</f>
        <v>1437.366</v>
      </c>
      <c r="AC8" s="761">
        <f>'Section 10 data country'!$T$26</f>
        <v>5.6549002041536838</v>
      </c>
      <c r="AD8" s="760">
        <f>'Section 10 data country'!$L$6</f>
        <v>1425.9059999999999</v>
      </c>
      <c r="AE8" s="760">
        <f>'Section 10 data country'!$U$26</f>
        <v>1622.8710000000001</v>
      </c>
      <c r="AF8" s="761">
        <f>'Section 10 data country'!$V$26</f>
        <v>5.9226321723649189</v>
      </c>
      <c r="AG8" s="760">
        <f>'Section 10 data country'!$M$6</f>
        <v>868.93399999999997</v>
      </c>
      <c r="AH8" s="760">
        <f>'Section 10 data country'!$W$26</f>
        <v>1370.6420000000001</v>
      </c>
      <c r="AI8" s="762">
        <f>'Section 10 data country'!$X$26</f>
        <v>5.9733356391400863</v>
      </c>
    </row>
    <row r="9" spans="2:35" ht="15" customHeight="1" x14ac:dyDescent="0.2">
      <c r="B9" s="763" t="s">
        <v>286</v>
      </c>
      <c r="C9" s="764">
        <f>'Section 10 data country'!$C$7</f>
        <v>169.035</v>
      </c>
      <c r="D9" s="764">
        <f>'Section 10 data country'!$C$27</f>
        <v>238.006</v>
      </c>
      <c r="E9" s="765">
        <f>'Section 10 data country'!$D$27</f>
        <v>18.350000000000001</v>
      </c>
      <c r="F9" s="764">
        <f>'Section 10 data country'!$F$7</f>
        <v>145.471</v>
      </c>
      <c r="G9" s="764">
        <f>'Section 10 data country'!$E$27</f>
        <v>258.863</v>
      </c>
      <c r="H9" s="765">
        <f>'Section 10 data country'!$F$27</f>
        <v>16.739999999999998</v>
      </c>
      <c r="I9" s="764">
        <f>'Section 10 data country'!$E$7</f>
        <v>143.113</v>
      </c>
      <c r="J9" s="764">
        <f>'Section 10 data country'!$G$27</f>
        <v>420.42200000000003</v>
      </c>
      <c r="K9" s="765">
        <f>'Section 10 data country'!$H$27</f>
        <v>18.03</v>
      </c>
      <c r="L9" s="764">
        <f>'Section 10 data country'!$F$7</f>
        <v>145.471</v>
      </c>
      <c r="M9" s="764">
        <f>'Section 10 data country'!$I$27</f>
        <v>350.44</v>
      </c>
      <c r="N9" s="765">
        <f>'Section 10 data country'!$J$27</f>
        <v>15.81</v>
      </c>
      <c r="O9" s="764">
        <f>'Section 10 data country'!$G$7</f>
        <v>109.753</v>
      </c>
      <c r="P9" s="764">
        <f>'Section 10 data country'!$K$27</f>
        <v>257.19099999999997</v>
      </c>
      <c r="Q9" s="765">
        <f>'Section 10 data country'!$L$27</f>
        <v>19.52</v>
      </c>
      <c r="R9" s="764">
        <f>'Section 10 data country'!$H$7</f>
        <v>130.58199999999999</v>
      </c>
      <c r="S9" s="764">
        <f>'Section 10 data country'!$M$27</f>
        <v>166.393</v>
      </c>
      <c r="T9" s="765">
        <f>'Section 10 data country'!$N$27</f>
        <v>14.57</v>
      </c>
      <c r="U9" s="764">
        <f>'Section 10 data country'!$I$7</f>
        <v>116.366</v>
      </c>
      <c r="V9" s="764">
        <f>'Section 10 data country'!$O$27</f>
        <v>201.227</v>
      </c>
      <c r="W9" s="765">
        <f>'Section 10 data country'!$P$27</f>
        <v>18.16</v>
      </c>
      <c r="X9" s="764">
        <f>'Section 10 data country'!$J$7</f>
        <v>99.707999999999998</v>
      </c>
      <c r="Y9" s="764">
        <f>'Section 10 data country'!$Q$27</f>
        <v>148.386</v>
      </c>
      <c r="Z9" s="765">
        <f>'Section 10 data country'!$R$27</f>
        <v>14.64</v>
      </c>
      <c r="AA9" s="764">
        <f>'Section 10 data country'!$K$7</f>
        <v>108.762</v>
      </c>
      <c r="AB9" s="764">
        <f>'Section 10 data country'!$S$27</f>
        <v>183.33199999999999</v>
      </c>
      <c r="AC9" s="765">
        <f>'Section 10 data country'!$T$27</f>
        <v>16.809999999999999</v>
      </c>
      <c r="AD9" s="764">
        <f>'Section 10 data country'!$L$7</f>
        <v>188.303</v>
      </c>
      <c r="AE9" s="764">
        <f>'Section 10 data country'!$U$27</f>
        <v>200.94499999999999</v>
      </c>
      <c r="AF9" s="765">
        <f>'Section 10 data country'!$V$27</f>
        <v>22.23</v>
      </c>
      <c r="AG9" s="764">
        <f>'Section 10 data country'!$M$7</f>
        <v>95.311000000000007</v>
      </c>
      <c r="AH9" s="764">
        <f>'Section 10 data country'!$W$27</f>
        <v>184.821</v>
      </c>
      <c r="AI9" s="766">
        <f>'Section 10 data country'!$X$27</f>
        <v>20.38</v>
      </c>
    </row>
    <row r="10" spans="2:35" ht="15" customHeight="1" x14ac:dyDescent="0.2">
      <c r="B10" s="763" t="s">
        <v>298</v>
      </c>
      <c r="C10" s="764">
        <f>'Section 10 data country'!$C$8</f>
        <v>75.849000000000004</v>
      </c>
      <c r="D10" s="764">
        <f>'Section 10 data country'!$C$28</f>
        <v>330.42700000000002</v>
      </c>
      <c r="E10" s="765">
        <f>'Section 10 data country'!$D$28</f>
        <v>17.149999999999999</v>
      </c>
      <c r="F10" s="764">
        <f>'Section 10 data country'!$F$8</f>
        <v>92.063000000000002</v>
      </c>
      <c r="G10" s="764">
        <f>'Section 10 data country'!$E$28</f>
        <v>520.34100000000001</v>
      </c>
      <c r="H10" s="765">
        <f>'Section 10 data country'!$F$28</f>
        <v>15.88</v>
      </c>
      <c r="I10" s="764">
        <f>'Section 10 data country'!$E$8</f>
        <v>72.724000000000004</v>
      </c>
      <c r="J10" s="764">
        <f>'Section 10 data country'!$G$28</f>
        <v>232.18</v>
      </c>
      <c r="K10" s="765">
        <f>'Section 10 data country'!$H$28</f>
        <v>11.5</v>
      </c>
      <c r="L10" s="764">
        <f>'Section 10 data country'!$F$8</f>
        <v>92.063000000000002</v>
      </c>
      <c r="M10" s="764">
        <f>'Section 10 data country'!$I$28</f>
        <v>212.33600000000001</v>
      </c>
      <c r="N10" s="765">
        <f>'Section 10 data country'!$J$28</f>
        <v>14.74</v>
      </c>
      <c r="O10" s="764">
        <f>'Section 10 data country'!$G$8</f>
        <v>76.516999999999996</v>
      </c>
      <c r="P10" s="764">
        <f>'Section 10 data country'!$K$28</f>
        <v>227.797</v>
      </c>
      <c r="Q10" s="765">
        <f>'Section 10 data country'!$L$28</f>
        <v>14.85</v>
      </c>
      <c r="R10" s="764">
        <f>'Section 10 data country'!$H$8</f>
        <v>89.004999999999995</v>
      </c>
      <c r="S10" s="764">
        <f>'Section 10 data country'!$M$28</f>
        <v>166.84</v>
      </c>
      <c r="T10" s="765">
        <f>'Section 10 data country'!$N$28</f>
        <v>21.27</v>
      </c>
      <c r="U10" s="764">
        <f>'Section 10 data country'!$I$8</f>
        <v>84.558000000000007</v>
      </c>
      <c r="V10" s="764">
        <f>'Section 10 data country'!$O$28</f>
        <v>181.90899999999999</v>
      </c>
      <c r="W10" s="765">
        <f>'Section 10 data country'!$P$28</f>
        <v>15.4</v>
      </c>
      <c r="X10" s="764">
        <f>'Section 10 data country'!$J$8</f>
        <v>105.60299999999999</v>
      </c>
      <c r="Y10" s="764">
        <f>'Section 10 data country'!$Q$28</f>
        <v>183.56899999999999</v>
      </c>
      <c r="Z10" s="765">
        <f>'Section 10 data country'!$R$28</f>
        <v>15.26</v>
      </c>
      <c r="AA10" s="764">
        <f>'Section 10 data country'!$K$8</f>
        <v>84.367999999999995</v>
      </c>
      <c r="AB10" s="764">
        <f>'Section 10 data country'!$S$28</f>
        <v>130.34399999999999</v>
      </c>
      <c r="AC10" s="765">
        <f>'Section 10 data country'!$T$28</f>
        <v>16.260000000000002</v>
      </c>
      <c r="AD10" s="764">
        <f>'Section 10 data country'!$L$8</f>
        <v>92.313000000000002</v>
      </c>
      <c r="AE10" s="764">
        <f>'Section 10 data country'!$U$28</f>
        <v>204.273</v>
      </c>
      <c r="AF10" s="765">
        <f>'Section 10 data country'!$V$28</f>
        <v>19.190000000000001</v>
      </c>
      <c r="AG10" s="764">
        <f>'Section 10 data country'!$M$8</f>
        <v>138.72300000000001</v>
      </c>
      <c r="AH10" s="764">
        <f>'Section 10 data country'!$W$28</f>
        <v>94.292000000000002</v>
      </c>
      <c r="AI10" s="766">
        <f>'Section 10 data country'!$X$28</f>
        <v>6.48</v>
      </c>
    </row>
    <row r="11" spans="2:35" ht="15" customHeight="1" x14ac:dyDescent="0.2">
      <c r="B11" s="763" t="s">
        <v>287</v>
      </c>
      <c r="C11" s="764">
        <f>'Section 10 data country'!$C$9</f>
        <v>168.267</v>
      </c>
      <c r="D11" s="764">
        <f>'Section 10 data country'!$C$29</f>
        <v>166.202</v>
      </c>
      <c r="E11" s="765">
        <f>'Section 10 data country'!$D$29</f>
        <v>11.7</v>
      </c>
      <c r="F11" s="764">
        <f>'Section 10 data country'!$F$9</f>
        <v>163.97300000000001</v>
      </c>
      <c r="G11" s="764">
        <f>'Section 10 data country'!$E$29</f>
        <v>201.37</v>
      </c>
      <c r="H11" s="765">
        <f>'Section 10 data country'!$F$29</f>
        <v>13.18</v>
      </c>
      <c r="I11" s="764">
        <f>'Section 10 data country'!$E$9</f>
        <v>142.75700000000001</v>
      </c>
      <c r="J11" s="764">
        <f>'Section 10 data country'!$G$29</f>
        <v>164.31299999999999</v>
      </c>
      <c r="K11" s="765">
        <f>'Section 10 data country'!$H$29</f>
        <v>17.68</v>
      </c>
      <c r="L11" s="764">
        <f>'Section 10 data country'!$F$9</f>
        <v>163.97300000000001</v>
      </c>
      <c r="M11" s="764">
        <f>'Section 10 data country'!$I$29</f>
        <v>251.798</v>
      </c>
      <c r="N11" s="765">
        <f>'Section 10 data country'!$J$29</f>
        <v>18.3</v>
      </c>
      <c r="O11" s="764">
        <f>'Section 10 data country'!$G$9</f>
        <v>163.97300000000001</v>
      </c>
      <c r="P11" s="764">
        <f>'Section 10 data country'!$K$29</f>
        <v>269.90499999999997</v>
      </c>
      <c r="Q11" s="765">
        <f>'Section 10 data country'!$L$29</f>
        <v>16.97</v>
      </c>
      <c r="R11" s="764">
        <f>'Section 10 data country'!$H$9</f>
        <v>169.017</v>
      </c>
      <c r="S11" s="764">
        <f>'Section 10 data country'!$M$29</f>
        <v>213.79300000000001</v>
      </c>
      <c r="T11" s="765">
        <f>'Section 10 data country'!$N$29</f>
        <v>19.66</v>
      </c>
      <c r="U11" s="764">
        <f>'Section 10 data country'!$I$9</f>
        <v>127.28400000000001</v>
      </c>
      <c r="V11" s="764">
        <f>'Section 10 data country'!$O$29</f>
        <v>159.32300000000001</v>
      </c>
      <c r="W11" s="765">
        <f>'Section 10 data country'!$P$29</f>
        <v>19.53</v>
      </c>
      <c r="X11" s="764">
        <f>'Section 10 data country'!$J$9</f>
        <v>110.233</v>
      </c>
      <c r="Y11" s="764">
        <f>'Section 10 data country'!$Q$29</f>
        <v>71.361000000000004</v>
      </c>
      <c r="Z11" s="765">
        <f>'Section 10 data country'!$R$29</f>
        <v>22.26</v>
      </c>
      <c r="AA11" s="764">
        <f>'Section 10 data country'!$K$9</f>
        <v>82.052999999999997</v>
      </c>
      <c r="AB11" s="764">
        <f>'Section 10 data country'!$S$29</f>
        <v>108.282</v>
      </c>
      <c r="AC11" s="765">
        <f>'Section 10 data country'!$T$29</f>
        <v>24.3</v>
      </c>
      <c r="AD11" s="764">
        <f>'Section 10 data country'!$L$9</f>
        <v>83.418999999999997</v>
      </c>
      <c r="AE11" s="764">
        <f>'Section 10 data country'!$U$29</f>
        <v>89.23</v>
      </c>
      <c r="AF11" s="765">
        <f>'Section 10 data country'!$V$29</f>
        <v>16.16</v>
      </c>
      <c r="AG11" s="764">
        <f>'Section 10 data country'!$M$9</f>
        <v>69.259</v>
      </c>
      <c r="AH11" s="764">
        <f>'Section 10 data country'!$W$29</f>
        <v>86.304000000000002</v>
      </c>
      <c r="AI11" s="766">
        <f>'Section 10 data country'!$X$29</f>
        <v>9.25</v>
      </c>
    </row>
    <row r="12" spans="2:35" ht="15" customHeight="1" x14ac:dyDescent="0.2">
      <c r="B12" s="763" t="s">
        <v>288</v>
      </c>
      <c r="C12" s="764">
        <f>'Section 10 data country'!$C$10</f>
        <v>47.417000000000002</v>
      </c>
      <c r="D12" s="764">
        <f>'Section 10 data country'!$C$30</f>
        <v>80.561999999999998</v>
      </c>
      <c r="E12" s="765">
        <f>'Section 10 data country'!$D$30</f>
        <v>17.87</v>
      </c>
      <c r="F12" s="764">
        <f>'Section 10 data country'!$F$10</f>
        <v>38.831000000000003</v>
      </c>
      <c r="G12" s="764">
        <f>'Section 10 data country'!$E$30</f>
        <v>104.88500000000001</v>
      </c>
      <c r="H12" s="765">
        <f>'Section 10 data country'!$F$30</f>
        <v>22.05</v>
      </c>
      <c r="I12" s="764">
        <f>'Section 10 data country'!$E$10</f>
        <v>45.317</v>
      </c>
      <c r="J12" s="764">
        <f>'Section 10 data country'!$G$30</f>
        <v>134.94200000000001</v>
      </c>
      <c r="K12" s="765">
        <f>'Section 10 data country'!$H$30</f>
        <v>29.77</v>
      </c>
      <c r="L12" s="764">
        <f>'Section 10 data country'!$F$10</f>
        <v>38.831000000000003</v>
      </c>
      <c r="M12" s="764">
        <f>'Section 10 data country'!$I$30</f>
        <v>136.261</v>
      </c>
      <c r="N12" s="765">
        <f>'Section 10 data country'!$J$30</f>
        <v>22.44</v>
      </c>
      <c r="O12" s="764">
        <f>'Section 10 data country'!$G$10</f>
        <v>47.055999999999997</v>
      </c>
      <c r="P12" s="764">
        <f>'Section 10 data country'!$K$30</f>
        <v>63.215000000000003</v>
      </c>
      <c r="Q12" s="765">
        <f>'Section 10 data country'!$L$30</f>
        <v>20.62</v>
      </c>
      <c r="R12" s="764">
        <f>'Section 10 data country'!$H$10</f>
        <v>33.167999999999999</v>
      </c>
      <c r="S12" s="764">
        <f>'Section 10 data country'!$M$30</f>
        <v>80.111000000000004</v>
      </c>
      <c r="T12" s="765">
        <f>'Section 10 data country'!$N$30</f>
        <v>39.979999999999997</v>
      </c>
      <c r="U12" s="764">
        <f>'Section 10 data country'!$I$10</f>
        <v>34.295999999999999</v>
      </c>
      <c r="V12" s="764">
        <f>'Section 10 data country'!$O$30</f>
        <v>83.795000000000002</v>
      </c>
      <c r="W12" s="765">
        <f>'Section 10 data country'!$P$30</f>
        <v>34.08</v>
      </c>
      <c r="X12" s="764">
        <f>'Section 10 data country'!$J$10</f>
        <v>27.609000000000002</v>
      </c>
      <c r="Y12" s="764">
        <f>'Section 10 data country'!$Q$30</f>
        <v>53.311999999999998</v>
      </c>
      <c r="Z12" s="765">
        <f>'Section 10 data country'!$R$30</f>
        <v>24.38</v>
      </c>
      <c r="AA12" s="764">
        <f>'Section 10 data country'!$K$10</f>
        <v>43.662999999999997</v>
      </c>
      <c r="AB12" s="764">
        <f>'Section 10 data country'!$S$30</f>
        <v>45.841000000000001</v>
      </c>
      <c r="AC12" s="765">
        <f>'Section 10 data country'!$T$30</f>
        <v>14.85</v>
      </c>
      <c r="AD12" s="764">
        <f>'Section 10 data country'!$L$10</f>
        <v>33.423000000000002</v>
      </c>
      <c r="AE12" s="764">
        <f>'Section 10 data country'!$U$30</f>
        <v>78.244</v>
      </c>
      <c r="AF12" s="765">
        <f>'Section 10 data country'!$V$30</f>
        <v>38.4</v>
      </c>
      <c r="AG12" s="764">
        <f>'Section 10 data country'!$M$10</f>
        <v>31.556000000000001</v>
      </c>
      <c r="AH12" s="764">
        <f>'Section 10 data country'!$W$30</f>
        <v>54.173999999999999</v>
      </c>
      <c r="AI12" s="766">
        <f>'Section 10 data country'!$X$30</f>
        <v>19.100000000000001</v>
      </c>
    </row>
    <row r="13" spans="2:35" ht="15" customHeight="1" x14ac:dyDescent="0.2">
      <c r="B13" s="763" t="s">
        <v>301</v>
      </c>
      <c r="C13" s="764">
        <f>'Section 10 data country'!$C$11</f>
        <v>2.827</v>
      </c>
      <c r="D13" s="764">
        <f>'Section 10 data country'!$C$31</f>
        <v>22.687000000000001</v>
      </c>
      <c r="E13" s="765">
        <f>'Section 10 data country'!$D$31</f>
        <v>29.86</v>
      </c>
      <c r="F13" s="764">
        <f>'Section 10 data country'!$F$11</f>
        <v>4.5709999999999997</v>
      </c>
      <c r="G13" s="764">
        <f>'Section 10 data country'!$E$31</f>
        <v>47.752000000000002</v>
      </c>
      <c r="H13" s="765">
        <f>'Section 10 data country'!$F$31</f>
        <v>29.88</v>
      </c>
      <c r="I13" s="764">
        <f>'Section 10 data country'!$E$11</f>
        <v>6.3460000000000001</v>
      </c>
      <c r="J13" s="764">
        <f>'Section 10 data country'!$G$31</f>
        <v>23.611000000000001</v>
      </c>
      <c r="K13" s="765">
        <f>'Section 10 data country'!$H$31</f>
        <v>27.54</v>
      </c>
      <c r="L13" s="764">
        <f>'Section 10 data country'!$F$11</f>
        <v>4.5709999999999997</v>
      </c>
      <c r="M13" s="764">
        <f>'Section 10 data country'!$I$31</f>
        <v>29.257999999999999</v>
      </c>
      <c r="N13" s="765">
        <f>'Section 10 data country'!$J$31</f>
        <v>30.38</v>
      </c>
      <c r="O13" s="764">
        <f>'Section 10 data country'!$G$11</f>
        <v>5.9619999999999997</v>
      </c>
      <c r="P13" s="764">
        <f>'Section 10 data country'!$K$31</f>
        <v>28.265000000000001</v>
      </c>
      <c r="Q13" s="765">
        <f>'Section 10 data country'!$L$31</f>
        <v>42.71</v>
      </c>
      <c r="R13" s="764">
        <f>'Section 10 data country'!$H$11</f>
        <v>5.3179999999999996</v>
      </c>
      <c r="S13" s="764">
        <f>'Section 10 data country'!$M$31</f>
        <v>19.815999999999999</v>
      </c>
      <c r="T13" s="765">
        <f>'Section 10 data country'!$N$31</f>
        <v>32.51</v>
      </c>
      <c r="U13" s="764">
        <f>'Section 10 data country'!$I$11</f>
        <v>3.9620000000000002</v>
      </c>
      <c r="V13" s="764">
        <f>'Section 10 data country'!$O$31</f>
        <v>10.875</v>
      </c>
      <c r="W13" s="765">
        <f>'Section 10 data country'!$P$31</f>
        <v>28.31</v>
      </c>
      <c r="X13" s="764">
        <f>'Section 10 data country'!$J$11</f>
        <v>5.4340000000000002</v>
      </c>
      <c r="Y13" s="764">
        <f>'Section 10 data country'!$Q$31</f>
        <v>24.6</v>
      </c>
      <c r="Z13" s="765">
        <f>'Section 10 data country'!$R$31</f>
        <v>42.45</v>
      </c>
      <c r="AA13" s="764">
        <f>'Section 10 data country'!$K$11</f>
        <v>2.8580000000000001</v>
      </c>
      <c r="AB13" s="764">
        <f>'Section 10 data country'!$S$31</f>
        <v>13.582000000000001</v>
      </c>
      <c r="AC13" s="765">
        <f>'Section 10 data country'!$T$31</f>
        <v>26.34</v>
      </c>
      <c r="AD13" s="764">
        <f>'Section 10 data country'!$L$11</f>
        <v>2.714</v>
      </c>
      <c r="AE13" s="764">
        <f>'Section 10 data country'!$U$31</f>
        <v>22.170999999999999</v>
      </c>
      <c r="AF13" s="765">
        <f>'Section 10 data country'!$V$31</f>
        <v>29.61</v>
      </c>
      <c r="AG13" s="764">
        <f>'Section 10 data country'!$M$11</f>
        <v>2.891</v>
      </c>
      <c r="AH13" s="764">
        <f>'Section 10 data country'!$W$31</f>
        <v>15.65</v>
      </c>
      <c r="AI13" s="766">
        <f>'Section 10 data country'!$X$31</f>
        <v>25.87</v>
      </c>
    </row>
    <row r="14" spans="2:35" ht="15" customHeight="1" x14ac:dyDescent="0.2">
      <c r="B14" s="763" t="s">
        <v>302</v>
      </c>
      <c r="C14" s="764">
        <f>'Section 10 data country'!$C$12</f>
        <v>0.47899999999999998</v>
      </c>
      <c r="D14" s="764">
        <f>'Section 10 data country'!$C$32</f>
        <v>27.053000000000001</v>
      </c>
      <c r="E14" s="765">
        <f>'Section 10 data country'!$D$32</f>
        <v>17.91</v>
      </c>
      <c r="F14" s="764">
        <f>'Section 10 data country'!$F$12</f>
        <v>1.6120000000000001</v>
      </c>
      <c r="G14" s="764">
        <f>'Section 10 data country'!$E$32</f>
        <v>62.036000000000001</v>
      </c>
      <c r="H14" s="765">
        <f>'Section 10 data country'!$F$32</f>
        <v>21.65</v>
      </c>
      <c r="I14" s="764">
        <f>'Section 10 data country'!$E$12</f>
        <v>0.48699999999999999</v>
      </c>
      <c r="J14" s="764">
        <f>'Section 10 data country'!$G$32</f>
        <v>48.756999999999998</v>
      </c>
      <c r="K14" s="765">
        <f>'Section 10 data country'!$H$32</f>
        <v>30.01</v>
      </c>
      <c r="L14" s="764">
        <f>'Section 10 data country'!$F$12</f>
        <v>1.6120000000000001</v>
      </c>
      <c r="M14" s="764">
        <f>'Section 10 data country'!$I$32</f>
        <v>21.864000000000001</v>
      </c>
      <c r="N14" s="765">
        <f>'Section 10 data country'!$J$32</f>
        <v>23.89</v>
      </c>
      <c r="O14" s="764">
        <f>'Section 10 data country'!$G$12</f>
        <v>2.3420000000000001</v>
      </c>
      <c r="P14" s="764">
        <f>'Section 10 data country'!$K$32</f>
        <v>52.98</v>
      </c>
      <c r="Q14" s="765">
        <f>'Section 10 data country'!$L$32</f>
        <v>58.36</v>
      </c>
      <c r="R14" s="764">
        <f>'Section 10 data country'!$H$12</f>
        <v>8.0280000000000005</v>
      </c>
      <c r="S14" s="764">
        <f>'Section 10 data country'!$M$32</f>
        <v>58.429000000000002</v>
      </c>
      <c r="T14" s="765">
        <f>'Section 10 data country'!$N$32</f>
        <v>33.86</v>
      </c>
      <c r="U14" s="764">
        <f>'Section 10 data country'!$I$12</f>
        <v>0.64400000000000002</v>
      </c>
      <c r="V14" s="764">
        <f>'Section 10 data country'!$O$32</f>
        <v>11.055</v>
      </c>
      <c r="W14" s="765">
        <f>'Section 10 data country'!$P$32</f>
        <v>23.5</v>
      </c>
      <c r="X14" s="764">
        <f>'Section 10 data country'!$J$12</f>
        <v>0.93</v>
      </c>
      <c r="Y14" s="764">
        <f>'Section 10 data country'!$Q$32</f>
        <v>36.366</v>
      </c>
      <c r="Z14" s="765">
        <f>'Section 10 data country'!$R$32</f>
        <v>41.85</v>
      </c>
      <c r="AA14" s="764">
        <f>'Section 10 data country'!$K$12</f>
        <v>0.88200000000000001</v>
      </c>
      <c r="AB14" s="764">
        <f>'Section 10 data country'!$S$32</f>
        <v>24.172000000000001</v>
      </c>
      <c r="AC14" s="765">
        <f>'Section 10 data country'!$T$32</f>
        <v>29.73</v>
      </c>
      <c r="AD14" s="764">
        <f>'Section 10 data country'!$L$12</f>
        <v>5.4580000000000002</v>
      </c>
      <c r="AE14" s="764">
        <f>'Section 10 data country'!$U$32</f>
        <v>15.317</v>
      </c>
      <c r="AF14" s="765">
        <f>'Section 10 data country'!$V$32</f>
        <v>20.91</v>
      </c>
      <c r="AG14" s="764">
        <f>'Section 10 data country'!$M$12</f>
        <v>1.105</v>
      </c>
      <c r="AH14" s="764">
        <f>'Section 10 data country'!$W$32</f>
        <v>17.748999999999999</v>
      </c>
      <c r="AI14" s="766">
        <f>'Section 10 data country'!$X$32</f>
        <v>18.61</v>
      </c>
    </row>
    <row r="15" spans="2:35" ht="15" customHeight="1" x14ac:dyDescent="0.2">
      <c r="B15" s="763" t="s">
        <v>303</v>
      </c>
      <c r="C15" s="764">
        <f>'Section 10 data country'!$C$13</f>
        <v>13.311999999999999</v>
      </c>
      <c r="D15" s="764">
        <f>'Section 10 data country'!$C$33</f>
        <v>160.82599999999999</v>
      </c>
      <c r="E15" s="765">
        <f>'Section 10 data country'!$D$33</f>
        <v>16.54</v>
      </c>
      <c r="F15" s="764">
        <f>'Section 10 data country'!$F$13</f>
        <v>18.491</v>
      </c>
      <c r="G15" s="764">
        <f>'Section 10 data country'!$E$33</f>
        <v>139.34299999999999</v>
      </c>
      <c r="H15" s="765">
        <f>'Section 10 data country'!$F$33</f>
        <v>15.82</v>
      </c>
      <c r="I15" s="764">
        <f>'Section 10 data country'!$E$13</f>
        <v>13.680999999999999</v>
      </c>
      <c r="J15" s="764">
        <f>'Section 10 data country'!$G$33</f>
        <v>172.786</v>
      </c>
      <c r="K15" s="765">
        <f>'Section 10 data country'!$H$33</f>
        <v>18.29</v>
      </c>
      <c r="L15" s="764">
        <f>'Section 10 data country'!$F$13</f>
        <v>18.491</v>
      </c>
      <c r="M15" s="764">
        <f>'Section 10 data country'!$I$33</f>
        <v>93.953999999999994</v>
      </c>
      <c r="N15" s="765">
        <f>'Section 10 data country'!$J$33</f>
        <v>22.78</v>
      </c>
      <c r="O15" s="764">
        <f>'Section 10 data country'!$G$13</f>
        <v>19.349</v>
      </c>
      <c r="P15" s="764">
        <f>'Section 10 data country'!$K$33</f>
        <v>86.736999999999995</v>
      </c>
      <c r="Q15" s="765">
        <f>'Section 10 data country'!$L$33</f>
        <v>25.34</v>
      </c>
      <c r="R15" s="764">
        <f>'Section 10 data country'!$H$13</f>
        <v>25.274999999999999</v>
      </c>
      <c r="S15" s="764">
        <f>'Section 10 data country'!$M$33</f>
        <v>116.59699999999999</v>
      </c>
      <c r="T15" s="765">
        <f>'Section 10 data country'!$N$33</f>
        <v>22.62</v>
      </c>
      <c r="U15" s="764">
        <f>'Section 10 data country'!$I$13</f>
        <v>22.312000000000001</v>
      </c>
      <c r="V15" s="764">
        <f>'Section 10 data country'!$O$33</f>
        <v>134.774</v>
      </c>
      <c r="W15" s="765">
        <f>'Section 10 data country'!$P$33</f>
        <v>27.91</v>
      </c>
      <c r="X15" s="764">
        <f>'Section 10 data country'!$J$13</f>
        <v>41.323</v>
      </c>
      <c r="Y15" s="764">
        <f>'Section 10 data country'!$Q$33</f>
        <v>63.48</v>
      </c>
      <c r="Z15" s="765">
        <f>'Section 10 data country'!$R$33</f>
        <v>19.22</v>
      </c>
      <c r="AA15" s="764">
        <f>'Section 10 data country'!$K$13</f>
        <v>21.765000000000001</v>
      </c>
      <c r="AB15" s="764">
        <f>'Section 10 data country'!$S$33</f>
        <v>41.133000000000003</v>
      </c>
      <c r="AC15" s="765">
        <f>'Section 10 data country'!$T$33</f>
        <v>13.14</v>
      </c>
      <c r="AD15" s="764">
        <f>'Section 10 data country'!$L$13</f>
        <v>57.508000000000003</v>
      </c>
      <c r="AE15" s="764">
        <f>'Section 10 data country'!$U$33</f>
        <v>63.802999999999997</v>
      </c>
      <c r="AF15" s="765">
        <f>'Section 10 data country'!$V$33</f>
        <v>20.57</v>
      </c>
      <c r="AG15" s="764">
        <f>'Section 10 data country'!$M$13</f>
        <v>20.928000000000001</v>
      </c>
      <c r="AH15" s="764">
        <f>'Section 10 data country'!$W$33</f>
        <v>58.523000000000003</v>
      </c>
      <c r="AI15" s="766">
        <f>'Section 10 data country'!$X$33</f>
        <v>15.38</v>
      </c>
    </row>
    <row r="16" spans="2:35" ht="15" customHeight="1" x14ac:dyDescent="0.2">
      <c r="B16" s="763" t="s">
        <v>304</v>
      </c>
      <c r="C16" s="764">
        <f>'Section 10 data country'!$C$14</f>
        <v>27.157</v>
      </c>
      <c r="D16" s="764">
        <f>'Section 10 data country'!$C$34</f>
        <v>67.429000000000002</v>
      </c>
      <c r="E16" s="765">
        <f>'Section 10 data country'!$D$34</f>
        <v>18.55</v>
      </c>
      <c r="F16" s="764">
        <f>'Section 10 data country'!$F$14</f>
        <v>25.933</v>
      </c>
      <c r="G16" s="764">
        <f>'Section 10 data country'!$E$34</f>
        <v>57.585000000000001</v>
      </c>
      <c r="H16" s="765">
        <f>'Section 10 data country'!$F$34</f>
        <v>18.010000000000002</v>
      </c>
      <c r="I16" s="764">
        <f>'Section 10 data country'!$E$14</f>
        <v>21.478999999999999</v>
      </c>
      <c r="J16" s="764">
        <f>'Section 10 data country'!$G$34</f>
        <v>42.152000000000001</v>
      </c>
      <c r="K16" s="765">
        <f>'Section 10 data country'!$H$34</f>
        <v>15.32</v>
      </c>
      <c r="L16" s="764">
        <f>'Section 10 data country'!$F$14</f>
        <v>25.933</v>
      </c>
      <c r="M16" s="764">
        <f>'Section 10 data country'!$I$34</f>
        <v>70.442999999999998</v>
      </c>
      <c r="N16" s="765">
        <f>'Section 10 data country'!$J$34</f>
        <v>19.45</v>
      </c>
      <c r="O16" s="764">
        <f>'Section 10 data country'!$G$14</f>
        <v>23.922000000000001</v>
      </c>
      <c r="P16" s="764">
        <f>'Section 10 data country'!$K$34</f>
        <v>80.106999999999999</v>
      </c>
      <c r="Q16" s="765">
        <f>'Section 10 data country'!$L$34</f>
        <v>22.38</v>
      </c>
      <c r="R16" s="764">
        <f>'Section 10 data country'!$H$14</f>
        <v>20.381</v>
      </c>
      <c r="S16" s="764">
        <f>'Section 10 data country'!$M$34</f>
        <v>47.362000000000002</v>
      </c>
      <c r="T16" s="765">
        <f>'Section 10 data country'!$N$34</f>
        <v>24.58</v>
      </c>
      <c r="U16" s="764">
        <f>'Section 10 data country'!$I$14</f>
        <v>24.646000000000001</v>
      </c>
      <c r="V16" s="764">
        <f>'Section 10 data country'!$O$34</f>
        <v>67.798000000000002</v>
      </c>
      <c r="W16" s="765">
        <f>'Section 10 data country'!$P$34</f>
        <v>26.98</v>
      </c>
      <c r="X16" s="764">
        <f>'Section 10 data country'!$J$14</f>
        <v>23.984000000000002</v>
      </c>
      <c r="Y16" s="764">
        <f>'Section 10 data country'!$Q$34</f>
        <v>42.78</v>
      </c>
      <c r="Z16" s="765">
        <f>'Section 10 data country'!$R$34</f>
        <v>30.35</v>
      </c>
      <c r="AA16" s="764">
        <f>'Section 10 data country'!$K$14</f>
        <v>24.838000000000001</v>
      </c>
      <c r="AB16" s="764">
        <f>'Section 10 data country'!$S$34</f>
        <v>60.563000000000002</v>
      </c>
      <c r="AC16" s="765">
        <f>'Section 10 data country'!$T$34</f>
        <v>35.53</v>
      </c>
      <c r="AD16" s="764">
        <f>'Section 10 data country'!$L$14</f>
        <v>27.324000000000002</v>
      </c>
      <c r="AE16" s="764">
        <f>'Section 10 data country'!$U$34</f>
        <v>51.89</v>
      </c>
      <c r="AF16" s="765">
        <f>'Section 10 data country'!$V$34</f>
        <v>40.020000000000003</v>
      </c>
      <c r="AG16" s="764">
        <f>'Section 10 data country'!$M$14</f>
        <v>24.099</v>
      </c>
      <c r="AH16" s="764">
        <f>'Section 10 data country'!$W$34</f>
        <v>26.802</v>
      </c>
      <c r="AI16" s="766">
        <f>'Section 10 data country'!$X$34</f>
        <v>17.53</v>
      </c>
    </row>
    <row r="17" spans="2:35" ht="15" customHeight="1" x14ac:dyDescent="0.2">
      <c r="B17" s="763" t="s">
        <v>291</v>
      </c>
      <c r="C17" s="764">
        <f>'Section 10 data country'!$C$15</f>
        <v>531.601</v>
      </c>
      <c r="D17" s="764">
        <f>'Section 10 data country'!$C$35</f>
        <v>287.02800000000002</v>
      </c>
      <c r="E17" s="765">
        <f>'Section 10 data country'!$D$35</f>
        <v>18.52</v>
      </c>
      <c r="F17" s="764">
        <f>'Section 10 data country'!$F$15</f>
        <v>284.392</v>
      </c>
      <c r="G17" s="764">
        <f>'Section 10 data country'!$E$35</f>
        <v>374.25299999999999</v>
      </c>
      <c r="H17" s="765">
        <f>'Section 10 data country'!$F$35</f>
        <v>17.09</v>
      </c>
      <c r="I17" s="764">
        <f>'Section 10 data country'!$E$15</f>
        <v>306.07900000000001</v>
      </c>
      <c r="J17" s="764">
        <f>'Section 10 data country'!$G$35</f>
        <v>370.53500000000003</v>
      </c>
      <c r="K17" s="765">
        <f>'Section 10 data country'!$H$35</f>
        <v>16.57</v>
      </c>
      <c r="L17" s="764">
        <f>'Section 10 data country'!$F$15</f>
        <v>284.392</v>
      </c>
      <c r="M17" s="764">
        <f>'Section 10 data country'!$I$35</f>
        <v>488.64299999999997</v>
      </c>
      <c r="N17" s="765">
        <f>'Section 10 data country'!$J$35</f>
        <v>18.55</v>
      </c>
      <c r="O17" s="764">
        <f>'Section 10 data country'!$G$15</f>
        <v>284.07400000000001</v>
      </c>
      <c r="P17" s="764">
        <f>'Section 10 data country'!$K$35</f>
        <v>543.79</v>
      </c>
      <c r="Q17" s="765">
        <f>'Section 10 data country'!$L$35</f>
        <v>19.170000000000002</v>
      </c>
      <c r="R17" s="764">
        <f>'Section 10 data country'!$H$15</f>
        <v>239.82499999999999</v>
      </c>
      <c r="S17" s="764">
        <f>'Section 10 data country'!$M$35</f>
        <v>491.47399999999999</v>
      </c>
      <c r="T17" s="765">
        <f>'Section 10 data country'!$N$35</f>
        <v>18.88</v>
      </c>
      <c r="U17" s="764">
        <f>'Section 10 data country'!$I$15</f>
        <v>343.99200000000002</v>
      </c>
      <c r="V17" s="764">
        <f>'Section 10 data country'!$O$35</f>
        <v>259.54899999999998</v>
      </c>
      <c r="W17" s="765">
        <f>'Section 10 data country'!$P$35</f>
        <v>21.27</v>
      </c>
      <c r="X17" s="764">
        <f>'Section 10 data country'!$J$15</f>
        <v>312.86099999999999</v>
      </c>
      <c r="Y17" s="764">
        <f>'Section 10 data country'!$Q$35</f>
        <v>197.40799999999999</v>
      </c>
      <c r="Z17" s="765">
        <f>'Section 10 data country'!$R$35</f>
        <v>16.32</v>
      </c>
      <c r="AA17" s="764">
        <f>'Section 10 data country'!$K$15</f>
        <v>253.268</v>
      </c>
      <c r="AB17" s="764">
        <f>'Section 10 data country'!$S$35</f>
        <v>181.24</v>
      </c>
      <c r="AC17" s="765">
        <f>'Section 10 data country'!$T$35</f>
        <v>17.57</v>
      </c>
      <c r="AD17" s="764">
        <f>'Section 10 data country'!$L$15</f>
        <v>446.40800000000002</v>
      </c>
      <c r="AE17" s="764">
        <f>'Section 10 data country'!$U$35</f>
        <v>251.57900000000001</v>
      </c>
      <c r="AF17" s="765">
        <f>'Section 10 data country'!$V$35</f>
        <v>20.8</v>
      </c>
      <c r="AG17" s="764">
        <f>'Section 10 data country'!$M$15</f>
        <v>184.489</v>
      </c>
      <c r="AH17" s="764">
        <f>'Section 10 data country'!$W$35</f>
        <v>262.19400000000002</v>
      </c>
      <c r="AI17" s="766">
        <f>'Section 10 data country'!$X$35</f>
        <v>24.43</v>
      </c>
    </row>
    <row r="18" spans="2:35" ht="15" customHeight="1" x14ac:dyDescent="0.2">
      <c r="B18" s="763" t="s">
        <v>292</v>
      </c>
      <c r="C18" s="764">
        <f>'Section 10 data country'!$C$16</f>
        <v>45.831000000000003</v>
      </c>
      <c r="D18" s="764">
        <f>'Section 10 data country'!$C$36</f>
        <v>215.75200000000001</v>
      </c>
      <c r="E18" s="765">
        <f>'Section 10 data country'!$D$36</f>
        <v>13.41</v>
      </c>
      <c r="F18" s="764">
        <f>'Section 10 data country'!$F$16</f>
        <v>60.746000000000002</v>
      </c>
      <c r="G18" s="764">
        <f>'Section 10 data country'!$E$36</f>
        <v>244.52500000000001</v>
      </c>
      <c r="H18" s="765">
        <f>'Section 10 data country'!$F$36</f>
        <v>11.17</v>
      </c>
      <c r="I18" s="764">
        <f>'Section 10 data country'!$E$16</f>
        <v>50.536000000000001</v>
      </c>
      <c r="J18" s="764">
        <f>'Section 10 data country'!$G$36</f>
        <v>207.72200000000001</v>
      </c>
      <c r="K18" s="765">
        <f>'Section 10 data country'!$H$36</f>
        <v>13.01</v>
      </c>
      <c r="L18" s="764">
        <f>'Section 10 data country'!$F$16</f>
        <v>60.746000000000002</v>
      </c>
      <c r="M18" s="764">
        <f>'Section 10 data country'!$I$36</f>
        <v>217.655</v>
      </c>
      <c r="N18" s="765">
        <f>'Section 10 data country'!$J$36</f>
        <v>13.9</v>
      </c>
      <c r="O18" s="764">
        <f>'Section 10 data country'!$G$16</f>
        <v>62.706000000000003</v>
      </c>
      <c r="P18" s="764">
        <f>'Section 10 data country'!$K$36</f>
        <v>220.10900000000001</v>
      </c>
      <c r="Q18" s="765">
        <f>'Section 10 data country'!$L$36</f>
        <v>16.22</v>
      </c>
      <c r="R18" s="764">
        <f>'Section 10 data country'!$H$16</f>
        <v>74.778000000000006</v>
      </c>
      <c r="S18" s="764">
        <f>'Section 10 data country'!$M$36</f>
        <v>136.70099999999999</v>
      </c>
      <c r="T18" s="765">
        <f>'Section 10 data country'!$N$36</f>
        <v>22.56</v>
      </c>
      <c r="U18" s="764">
        <f>'Section 10 data country'!$I$16</f>
        <v>89.826999999999998</v>
      </c>
      <c r="V18" s="764">
        <f>'Section 10 data country'!$O$36</f>
        <v>145.036</v>
      </c>
      <c r="W18" s="765">
        <f>'Section 10 data country'!$P$36</f>
        <v>17.899999999999999</v>
      </c>
      <c r="X18" s="764">
        <f>'Section 10 data country'!$J$16</f>
        <v>77.070999999999998</v>
      </c>
      <c r="Y18" s="764">
        <f>'Section 10 data country'!$Q$36</f>
        <v>114.54</v>
      </c>
      <c r="Z18" s="765">
        <f>'Section 10 data country'!$R$36</f>
        <v>17.809999999999999</v>
      </c>
      <c r="AA18" s="764">
        <f>'Section 10 data country'!$K$16</f>
        <v>63.811999999999998</v>
      </c>
      <c r="AB18" s="764">
        <f>'Section 10 data country'!$S$36</f>
        <v>152.94</v>
      </c>
      <c r="AC18" s="765">
        <f>'Section 10 data country'!$T$36</f>
        <v>26.64</v>
      </c>
      <c r="AD18" s="764">
        <f>'Section 10 data country'!$L$16</f>
        <v>95.016999999999996</v>
      </c>
      <c r="AE18" s="764">
        <f>'Section 10 data country'!$U$36</f>
        <v>108.004</v>
      </c>
      <c r="AF18" s="765">
        <f>'Section 10 data country'!$V$36</f>
        <v>14.32</v>
      </c>
      <c r="AG18" s="764">
        <f>'Section 10 data country'!$M$16</f>
        <v>59.436999999999998</v>
      </c>
      <c r="AH18" s="764">
        <f>'Section 10 data country'!$W$36</f>
        <v>84.272000000000006</v>
      </c>
      <c r="AI18" s="766">
        <f>'Section 10 data country'!$X$36</f>
        <v>8.18</v>
      </c>
    </row>
    <row r="19" spans="2:35" ht="15" customHeight="1" x14ac:dyDescent="0.2">
      <c r="B19" s="763" t="s">
        <v>293</v>
      </c>
      <c r="C19" s="764">
        <f>'Section 10 data country'!$C$17</f>
        <v>6.26</v>
      </c>
      <c r="D19" s="764">
        <f>'Section 10 data country'!$C$37</f>
        <v>268.62799999999999</v>
      </c>
      <c r="E19" s="765">
        <f>'Section 10 data country'!$D$37</f>
        <v>16.62</v>
      </c>
      <c r="F19" s="764">
        <f>'Section 10 data country'!$F$17</f>
        <v>5.2220000000000004</v>
      </c>
      <c r="G19" s="764">
        <f>'Section 10 data country'!$E$37</f>
        <v>198.71100000000001</v>
      </c>
      <c r="H19" s="765">
        <f>'Section 10 data country'!$F$37</f>
        <v>11.38</v>
      </c>
      <c r="I19" s="764">
        <f>'Section 10 data country'!$E$17</f>
        <v>7.3289999999999997</v>
      </c>
      <c r="J19" s="764">
        <f>'Section 10 data country'!$G$37</f>
        <v>222.637</v>
      </c>
      <c r="K19" s="765">
        <f>'Section 10 data country'!$H$37</f>
        <v>13.71</v>
      </c>
      <c r="L19" s="764">
        <f>'Section 10 data country'!$F$17</f>
        <v>5.2220000000000004</v>
      </c>
      <c r="M19" s="764">
        <f>'Section 10 data country'!$I$37</f>
        <v>318.28699999999998</v>
      </c>
      <c r="N19" s="765">
        <f>'Section 10 data country'!$J$37</f>
        <v>14.55</v>
      </c>
      <c r="O19" s="764">
        <f>'Section 10 data country'!$G$17</f>
        <v>6.5110000000000001</v>
      </c>
      <c r="P19" s="764">
        <f>'Section 10 data country'!$K$37</f>
        <v>226.78299999999999</v>
      </c>
      <c r="Q19" s="765">
        <f>'Section 10 data country'!$L$37</f>
        <v>17.66</v>
      </c>
      <c r="R19" s="764">
        <f>'Section 10 data country'!$H$17</f>
        <v>18.823</v>
      </c>
      <c r="S19" s="764">
        <f>'Section 10 data country'!$M$37</f>
        <v>196.238</v>
      </c>
      <c r="T19" s="765">
        <f>'Section 10 data country'!$N$37</f>
        <v>22.79</v>
      </c>
      <c r="U19" s="764">
        <f>'Section 10 data country'!$I$17</f>
        <v>9.0670000000000002</v>
      </c>
      <c r="V19" s="764">
        <f>'Section 10 data country'!$O$37</f>
        <v>146.887</v>
      </c>
      <c r="W19" s="765">
        <f>'Section 10 data country'!$P$37</f>
        <v>21.18</v>
      </c>
      <c r="X19" s="764">
        <f>'Section 10 data country'!$J$17</f>
        <v>6.3719999999999999</v>
      </c>
      <c r="Y19" s="764">
        <f>'Section 10 data country'!$Q$37</f>
        <v>122.51900000000001</v>
      </c>
      <c r="Z19" s="765">
        <f>'Section 10 data country'!$R$37</f>
        <v>25.35</v>
      </c>
      <c r="AA19" s="764">
        <f>'Section 10 data country'!$K$17</f>
        <v>8.7929999999999993</v>
      </c>
      <c r="AB19" s="764">
        <f>'Section 10 data country'!$S$37</f>
        <v>104.664</v>
      </c>
      <c r="AC19" s="765">
        <f>'Section 10 data country'!$T$37</f>
        <v>18.86</v>
      </c>
      <c r="AD19" s="764">
        <f>'Section 10 data country'!$L$17</f>
        <v>40.031999999999996</v>
      </c>
      <c r="AE19" s="764">
        <f>'Section 10 data country'!$U$37</f>
        <v>92.727999999999994</v>
      </c>
      <c r="AF19" s="765">
        <f>'Section 10 data country'!$V$37</f>
        <v>9.23</v>
      </c>
      <c r="AG19" s="764">
        <f>'Section 10 data country'!$M$17</f>
        <v>9.5969999999999995</v>
      </c>
      <c r="AH19" s="764">
        <f>'Section 10 data country'!$W$37</f>
        <v>105.907</v>
      </c>
      <c r="AI19" s="766">
        <f>'Section 10 data country'!$X$37</f>
        <v>15.1</v>
      </c>
    </row>
    <row r="20" spans="2:35" ht="15" customHeight="1" x14ac:dyDescent="0.2">
      <c r="B20" s="763" t="s">
        <v>294</v>
      </c>
      <c r="C20" s="764">
        <f>'Section 10 data country'!$C$18</f>
        <v>49.295000000000002</v>
      </c>
      <c r="D20" s="764">
        <f>'Section 10 data country'!$C$38</f>
        <v>352.09399999999999</v>
      </c>
      <c r="E20" s="765">
        <f>'Section 10 data country'!$D$38</f>
        <v>15.34</v>
      </c>
      <c r="F20" s="764">
        <f>'Section 10 data country'!$F$18</f>
        <v>62.314999999999998</v>
      </c>
      <c r="G20" s="764">
        <f>'Section 10 data country'!$E$38</f>
        <v>312.339</v>
      </c>
      <c r="H20" s="765">
        <f>'Section 10 data country'!$F$38</f>
        <v>13.78</v>
      </c>
      <c r="I20" s="764">
        <f>'Section 10 data country'!$E$18</f>
        <v>51.792000000000002</v>
      </c>
      <c r="J20" s="764">
        <f>'Section 10 data country'!$G$38</f>
        <v>247.75899999999999</v>
      </c>
      <c r="K20" s="765">
        <f>'Section 10 data country'!$H$38</f>
        <v>16.149999999999999</v>
      </c>
      <c r="L20" s="764">
        <f>'Section 10 data country'!$F$18</f>
        <v>62.314999999999998</v>
      </c>
      <c r="M20" s="764">
        <f>'Section 10 data country'!$I$38</f>
        <v>245.41300000000001</v>
      </c>
      <c r="N20" s="765">
        <f>'Section 10 data country'!$J$38</f>
        <v>12.48</v>
      </c>
      <c r="O20" s="764">
        <f>'Section 10 data country'!$G$18</f>
        <v>53.054000000000002</v>
      </c>
      <c r="P20" s="764">
        <f>'Section 10 data country'!$K$38</f>
        <v>187.584</v>
      </c>
      <c r="Q20" s="765">
        <f>'Section 10 data country'!$L$38</f>
        <v>13.34</v>
      </c>
      <c r="R20" s="764">
        <f>'Section 10 data country'!$H$18</f>
        <v>60.503999999999998</v>
      </c>
      <c r="S20" s="764">
        <f>'Section 10 data country'!$M$38</f>
        <v>155.52799999999999</v>
      </c>
      <c r="T20" s="765">
        <f>'Section 10 data country'!$N$38</f>
        <v>12.49</v>
      </c>
      <c r="U20" s="764">
        <f>'Section 10 data country'!$I$18</f>
        <v>62.692999999999998</v>
      </c>
      <c r="V20" s="764">
        <f>'Section 10 data country'!$O$38</f>
        <v>129.36000000000001</v>
      </c>
      <c r="W20" s="765">
        <f>'Section 10 data country'!$P$38</f>
        <v>21.25</v>
      </c>
      <c r="X20" s="764">
        <f>'Section 10 data country'!$J$18</f>
        <v>52.445999999999998</v>
      </c>
      <c r="Y20" s="764">
        <f>'Section 10 data country'!$Q$38</f>
        <v>107.85599999999999</v>
      </c>
      <c r="Z20" s="765">
        <f>'Section 10 data country'!$R$38</f>
        <v>11.47</v>
      </c>
      <c r="AA20" s="764">
        <f>'Section 10 data country'!$K$18</f>
        <v>43.613</v>
      </c>
      <c r="AB20" s="764">
        <f>'Section 10 data country'!$S$38</f>
        <v>108.97</v>
      </c>
      <c r="AC20" s="765">
        <f>'Section 10 data country'!$T$38</f>
        <v>7.94</v>
      </c>
      <c r="AD20" s="764">
        <f>'Section 10 data country'!$L$18</f>
        <v>43.976999999999997</v>
      </c>
      <c r="AE20" s="764">
        <f>'Section 10 data country'!$U$38</f>
        <v>136.33500000000001</v>
      </c>
      <c r="AF20" s="765">
        <f>'Section 10 data country'!$V$38</f>
        <v>11.08</v>
      </c>
      <c r="AG20" s="764">
        <f>'Section 10 data country'!$M$18</f>
        <v>60.320999999999998</v>
      </c>
      <c r="AH20" s="764">
        <f>'Section 10 data country'!$W$38</f>
        <v>106.096</v>
      </c>
      <c r="AI20" s="766">
        <f>'Section 10 data country'!$X$38</f>
        <v>6.67</v>
      </c>
    </row>
    <row r="21" spans="2:35" ht="15" customHeight="1" x14ac:dyDescent="0.2">
      <c r="B21" s="763" t="s">
        <v>295</v>
      </c>
      <c r="C21" s="764">
        <f>'Section 10 data country'!$C$19</f>
        <v>119.86199999999999</v>
      </c>
      <c r="D21" s="764">
        <f>'Section 10 data country'!$C$39</f>
        <v>467.99599999999998</v>
      </c>
      <c r="E21" s="765">
        <f>'Section 10 data country'!$D$39</f>
        <v>15.18</v>
      </c>
      <c r="F21" s="764">
        <f>'Section 10 data country'!$F$19</f>
        <v>143.47499999999999</v>
      </c>
      <c r="G21" s="764">
        <f>'Section 10 data country'!$E$39</f>
        <v>420.09199999999998</v>
      </c>
      <c r="H21" s="765">
        <f>'Section 10 data country'!$F$39</f>
        <v>14.44</v>
      </c>
      <c r="I21" s="764">
        <f>'Section 10 data country'!$E$19</f>
        <v>145.24</v>
      </c>
      <c r="J21" s="764">
        <f>'Section 10 data country'!$G$39</f>
        <v>370.84199999999998</v>
      </c>
      <c r="K21" s="765">
        <f>'Section 10 data country'!$H$39</f>
        <v>17.559999999999999</v>
      </c>
      <c r="L21" s="764">
        <f>'Section 10 data country'!$F$19</f>
        <v>143.47499999999999</v>
      </c>
      <c r="M21" s="764">
        <f>'Section 10 data country'!$I$39</f>
        <v>286.964</v>
      </c>
      <c r="N21" s="765">
        <f>'Section 10 data country'!$J$39</f>
        <v>14.65</v>
      </c>
      <c r="O21" s="764">
        <f>'Section 10 data country'!$G$19</f>
        <v>128.51900000000001</v>
      </c>
      <c r="P21" s="764">
        <f>'Section 10 data country'!$K$39</f>
        <v>446.91</v>
      </c>
      <c r="Q21" s="765">
        <f>'Section 10 data country'!$L$39</f>
        <v>17.71</v>
      </c>
      <c r="R21" s="764">
        <f>'Section 10 data country'!$H$19</f>
        <v>131.70500000000001</v>
      </c>
      <c r="S21" s="764">
        <f>'Section 10 data country'!$M$39</f>
        <v>221.53100000000001</v>
      </c>
      <c r="T21" s="765">
        <f>'Section 10 data country'!$N$39</f>
        <v>21.03</v>
      </c>
      <c r="U21" s="764">
        <f>'Section 10 data country'!$I$19</f>
        <v>120.569</v>
      </c>
      <c r="V21" s="764">
        <f>'Section 10 data country'!$O$39</f>
        <v>162.16200000000001</v>
      </c>
      <c r="W21" s="765">
        <f>'Section 10 data country'!$P$39</f>
        <v>18.11</v>
      </c>
      <c r="X21" s="764">
        <f>'Section 10 data country'!$J$19</f>
        <v>117.768</v>
      </c>
      <c r="Y21" s="764">
        <f>'Section 10 data country'!$Q$39</f>
        <v>200.52600000000001</v>
      </c>
      <c r="Z21" s="765">
        <f>'Section 10 data country'!$R$39</f>
        <v>18.66</v>
      </c>
      <c r="AA21" s="764">
        <f>'Section 10 data country'!$K$19</f>
        <v>98.951999999999998</v>
      </c>
      <c r="AB21" s="764">
        <f>'Section 10 data country'!$S$39</f>
        <v>140.03</v>
      </c>
      <c r="AC21" s="765">
        <f>'Section 10 data country'!$T$39</f>
        <v>17.54</v>
      </c>
      <c r="AD21" s="764">
        <f>'Section 10 data country'!$L$19</f>
        <v>101.836</v>
      </c>
      <c r="AE21" s="764">
        <f>'Section 10 data country'!$U$39</f>
        <v>150.005</v>
      </c>
      <c r="AF21" s="765">
        <f>'Section 10 data country'!$V$39</f>
        <v>12.77</v>
      </c>
      <c r="AG21" s="764">
        <f>'Section 10 data country'!$M$19</f>
        <v>95.403999999999996</v>
      </c>
      <c r="AH21" s="764">
        <f>'Section 10 data country'!$W$39</f>
        <v>467.99599999999998</v>
      </c>
      <c r="AI21" s="766">
        <f>'Section 10 data country'!$X$39</f>
        <v>15.18</v>
      </c>
    </row>
    <row r="22" spans="2:35" ht="15" customHeight="1" x14ac:dyDescent="0.2">
      <c r="B22" s="767" t="s">
        <v>296</v>
      </c>
      <c r="C22" s="768">
        <f>'Section 10 data country'!$C$20</f>
        <v>100.446</v>
      </c>
      <c r="D22" s="768">
        <f>'Section 10 data country'!$C$40</f>
        <v>273.24700000000001</v>
      </c>
      <c r="E22" s="769">
        <f>'Section 10 data country'!$D$40</f>
        <v>10.98</v>
      </c>
      <c r="F22" s="768">
        <f>'Section 10 data country'!$F$20</f>
        <v>99.02</v>
      </c>
      <c r="G22" s="768">
        <f>'Section 10 data country'!$E$40</f>
        <v>322.80900000000003</v>
      </c>
      <c r="H22" s="769">
        <f>'Section 10 data country'!$F$40</f>
        <v>15.41</v>
      </c>
      <c r="I22" s="768">
        <f>'Section 10 data country'!$E$20</f>
        <v>116.056</v>
      </c>
      <c r="J22" s="768">
        <f>'Section 10 data country'!$G$40</f>
        <v>297.791</v>
      </c>
      <c r="K22" s="769">
        <f>'Section 10 data country'!$H$40</f>
        <v>11.33</v>
      </c>
      <c r="L22" s="768">
        <f>'Section 10 data country'!$F$20</f>
        <v>99.02</v>
      </c>
      <c r="M22" s="768">
        <f>'Section 10 data country'!$I$40</f>
        <v>329.38299999999998</v>
      </c>
      <c r="N22" s="769">
        <f>'Section 10 data country'!$J$40</f>
        <v>17.11</v>
      </c>
      <c r="O22" s="768">
        <f>'Section 10 data country'!$G$20</f>
        <v>111.05200000000001</v>
      </c>
      <c r="P22" s="768">
        <f>'Section 10 data country'!$K$40</f>
        <v>219.03200000000001</v>
      </c>
      <c r="Q22" s="769">
        <f>'Section 10 data country'!$L$40</f>
        <v>13.09</v>
      </c>
      <c r="R22" s="768">
        <f>'Section 10 data country'!$H$20</f>
        <v>93.95</v>
      </c>
      <c r="S22" s="768">
        <f>'Section 10 data country'!$M$40</f>
        <v>201.93100000000001</v>
      </c>
      <c r="T22" s="769">
        <f>'Section 10 data country'!$N$40</f>
        <v>15.73</v>
      </c>
      <c r="U22" s="768">
        <f>'Section 10 data country'!$I$20</f>
        <v>80.665999999999997</v>
      </c>
      <c r="V22" s="768">
        <f>'Section 10 data country'!$O$40</f>
        <v>170.36799999999999</v>
      </c>
      <c r="W22" s="769">
        <f>'Section 10 data country'!$P$40</f>
        <v>14</v>
      </c>
      <c r="X22" s="768">
        <f>'Section 10 data country'!$J$20</f>
        <v>90.037999999999997</v>
      </c>
      <c r="Y22" s="768">
        <f>'Section 10 data country'!$Q$40</f>
        <v>171.24199999999999</v>
      </c>
      <c r="Z22" s="769">
        <f>'Section 10 data country'!$R$40</f>
        <v>13.4</v>
      </c>
      <c r="AA22" s="768">
        <f>'Section 10 data country'!$K$20</f>
        <v>66.185000000000002</v>
      </c>
      <c r="AB22" s="768">
        <f>'Section 10 data country'!$S$40</f>
        <v>142.273</v>
      </c>
      <c r="AC22" s="769">
        <f>'Section 10 data country'!$T$40</f>
        <v>9.18</v>
      </c>
      <c r="AD22" s="768">
        <f>'Section 10 data country'!$L$20</f>
        <v>208.17400000000001</v>
      </c>
      <c r="AE22" s="768">
        <f>'Section 10 data country'!$U$40</f>
        <v>158.34700000000001</v>
      </c>
      <c r="AF22" s="769">
        <f>'Section 10 data country'!$V$40</f>
        <v>10.81</v>
      </c>
      <c r="AG22" s="768">
        <f>'Section 10 data country'!$M$20</f>
        <v>75.813999999999993</v>
      </c>
      <c r="AH22" s="768">
        <f>'Section 10 data country'!$W$40</f>
        <v>158.708</v>
      </c>
      <c r="AI22" s="770">
        <f>'Section 10 data country'!$X$40</f>
        <v>12.84</v>
      </c>
    </row>
    <row r="25" spans="2:35" ht="15" customHeight="1" x14ac:dyDescent="0.2">
      <c r="B25" s="1109" t="s">
        <v>380</v>
      </c>
      <c r="C25" s="1089" t="s">
        <v>332</v>
      </c>
      <c r="D25" s="1089"/>
      <c r="E25" s="1089"/>
      <c r="F25" s="1089" t="s">
        <v>222</v>
      </c>
      <c r="G25" s="1089"/>
      <c r="H25" s="1018"/>
    </row>
    <row r="26" spans="2:35" ht="15" customHeight="1" x14ac:dyDescent="0.2">
      <c r="B26" s="1110"/>
      <c r="C26" s="732" t="s">
        <v>78</v>
      </c>
      <c r="D26" s="1091" t="s">
        <v>79</v>
      </c>
      <c r="E26" s="1091"/>
      <c r="F26" s="732" t="s">
        <v>78</v>
      </c>
      <c r="G26" s="1091" t="s">
        <v>79</v>
      </c>
      <c r="H26" s="1013"/>
    </row>
    <row r="27" spans="2:35" ht="30" customHeight="1" x14ac:dyDescent="0.2">
      <c r="B27" s="1110"/>
      <c r="C27" s="1090" t="s">
        <v>326</v>
      </c>
      <c r="D27" s="1090"/>
      <c r="E27" s="130" t="s">
        <v>82</v>
      </c>
      <c r="F27" s="1090" t="s">
        <v>326</v>
      </c>
      <c r="G27" s="1090"/>
      <c r="H27" s="131" t="s">
        <v>82</v>
      </c>
    </row>
    <row r="28" spans="2:35" ht="15" customHeight="1" x14ac:dyDescent="0.2">
      <c r="B28" s="759" t="str">
        <f>Index!$B$4</f>
        <v>England</v>
      </c>
      <c r="C28" s="760">
        <f>'Section 10 data country'!$C$6</f>
        <v>1357.6379999999999</v>
      </c>
      <c r="D28" s="760">
        <f>'Section 10 data country'!$C$26</f>
        <v>2957.9369999999999</v>
      </c>
      <c r="E28" s="761">
        <f>'Section 10 data country'!$D$26</f>
        <v>4.9175326735365372</v>
      </c>
      <c r="F28" s="760">
        <f>'Section 10 data country'!$F$6</f>
        <v>1146.115</v>
      </c>
      <c r="G28" s="760">
        <f>'Section 10 data country'!$E$26</f>
        <v>3264.904</v>
      </c>
      <c r="H28" s="762">
        <f>'Section 10 data country'!$F$26</f>
        <v>4.7723267050589984</v>
      </c>
    </row>
    <row r="29" spans="2:35" ht="15" customHeight="1" x14ac:dyDescent="0.2">
      <c r="B29" s="763" t="s">
        <v>286</v>
      </c>
      <c r="C29" s="764">
        <f>'Section 10 data country'!$C$7</f>
        <v>169.035</v>
      </c>
      <c r="D29" s="764">
        <f>'Section 10 data country'!$C$27</f>
        <v>238.006</v>
      </c>
      <c r="E29" s="765">
        <f>'Section 10 data country'!$D$27</f>
        <v>18.350000000000001</v>
      </c>
      <c r="F29" s="764">
        <f>'Section 10 data country'!$F$7</f>
        <v>145.471</v>
      </c>
      <c r="G29" s="764">
        <f>'Section 10 data country'!$E$27</f>
        <v>258.863</v>
      </c>
      <c r="H29" s="766">
        <f>'Section 10 data country'!$F$27</f>
        <v>16.739999999999998</v>
      </c>
    </row>
    <row r="30" spans="2:35" ht="15" customHeight="1" x14ac:dyDescent="0.2">
      <c r="B30" s="763" t="s">
        <v>298</v>
      </c>
      <c r="C30" s="764">
        <f>'Section 10 data country'!$C$8</f>
        <v>75.849000000000004</v>
      </c>
      <c r="D30" s="764">
        <f>'Section 10 data country'!$C$28</f>
        <v>330.42700000000002</v>
      </c>
      <c r="E30" s="765">
        <f>'Section 10 data country'!$D$28</f>
        <v>17.149999999999999</v>
      </c>
      <c r="F30" s="764">
        <f>'Section 10 data country'!$F$8</f>
        <v>92.063000000000002</v>
      </c>
      <c r="G30" s="764">
        <f>'Section 10 data country'!$E$28</f>
        <v>520.34100000000001</v>
      </c>
      <c r="H30" s="766">
        <f>'Section 10 data country'!$F$28</f>
        <v>15.88</v>
      </c>
    </row>
    <row r="31" spans="2:35" ht="15" customHeight="1" x14ac:dyDescent="0.2">
      <c r="B31" s="763" t="s">
        <v>287</v>
      </c>
      <c r="C31" s="764">
        <f>'Section 10 data country'!$C$9</f>
        <v>168.267</v>
      </c>
      <c r="D31" s="764">
        <f>'Section 10 data country'!$C$29</f>
        <v>166.202</v>
      </c>
      <c r="E31" s="765">
        <f>'Section 10 data country'!$D$29</f>
        <v>11.7</v>
      </c>
      <c r="F31" s="764">
        <f>'Section 10 data country'!$F$9</f>
        <v>163.97300000000001</v>
      </c>
      <c r="G31" s="764">
        <f>'Section 10 data country'!$E$29</f>
        <v>201.37</v>
      </c>
      <c r="H31" s="766">
        <f>'Section 10 data country'!$F$29</f>
        <v>13.18</v>
      </c>
    </row>
    <row r="32" spans="2:35" ht="15" customHeight="1" x14ac:dyDescent="0.2">
      <c r="B32" s="763" t="s">
        <v>288</v>
      </c>
      <c r="C32" s="764">
        <f>'Section 10 data country'!$C$10</f>
        <v>47.417000000000002</v>
      </c>
      <c r="D32" s="764">
        <f>'Section 10 data country'!$C$30</f>
        <v>80.561999999999998</v>
      </c>
      <c r="E32" s="765">
        <f>'Section 10 data country'!$D$30</f>
        <v>17.87</v>
      </c>
      <c r="F32" s="764">
        <f>'Section 10 data country'!$F$10</f>
        <v>38.831000000000003</v>
      </c>
      <c r="G32" s="764">
        <f>'Section 10 data country'!$E$30</f>
        <v>104.88500000000001</v>
      </c>
      <c r="H32" s="766">
        <f>'Section 10 data country'!$F$30</f>
        <v>22.05</v>
      </c>
    </row>
    <row r="33" spans="2:8" ht="15" customHeight="1" x14ac:dyDescent="0.2">
      <c r="B33" s="763" t="s">
        <v>301</v>
      </c>
      <c r="C33" s="764">
        <f>'Section 10 data country'!$C$11</f>
        <v>2.827</v>
      </c>
      <c r="D33" s="764">
        <f>'Section 10 data country'!$C$31</f>
        <v>22.687000000000001</v>
      </c>
      <c r="E33" s="765">
        <f>'Section 10 data country'!$D$31</f>
        <v>29.86</v>
      </c>
      <c r="F33" s="764">
        <f>'Section 10 data country'!$F$11</f>
        <v>4.5709999999999997</v>
      </c>
      <c r="G33" s="764">
        <f>'Section 10 data country'!$E$31</f>
        <v>47.752000000000002</v>
      </c>
      <c r="H33" s="766">
        <f>'Section 10 data country'!$F$31</f>
        <v>29.88</v>
      </c>
    </row>
    <row r="34" spans="2:8" ht="15" customHeight="1" x14ac:dyDescent="0.2">
      <c r="B34" s="763" t="s">
        <v>302</v>
      </c>
      <c r="C34" s="764">
        <f>'Section 10 data country'!$C$12</f>
        <v>0.47899999999999998</v>
      </c>
      <c r="D34" s="764">
        <f>'Section 10 data country'!$C$32</f>
        <v>27.053000000000001</v>
      </c>
      <c r="E34" s="765">
        <f>'Section 10 data country'!$D$32</f>
        <v>17.91</v>
      </c>
      <c r="F34" s="764">
        <f>'Section 10 data country'!$F$12</f>
        <v>1.6120000000000001</v>
      </c>
      <c r="G34" s="764">
        <f>'Section 10 data country'!$E$32</f>
        <v>62.036000000000001</v>
      </c>
      <c r="H34" s="766">
        <f>'Section 10 data country'!$F$32</f>
        <v>21.65</v>
      </c>
    </row>
    <row r="35" spans="2:8" ht="15" customHeight="1" x14ac:dyDescent="0.2">
      <c r="B35" s="763" t="s">
        <v>303</v>
      </c>
      <c r="C35" s="764">
        <f>'Section 10 data country'!$C$13</f>
        <v>13.311999999999999</v>
      </c>
      <c r="D35" s="764">
        <f>'Section 10 data country'!$C$33</f>
        <v>160.82599999999999</v>
      </c>
      <c r="E35" s="765">
        <f>'Section 10 data country'!$D$33</f>
        <v>16.54</v>
      </c>
      <c r="F35" s="764">
        <f>'Section 10 data country'!$F$13</f>
        <v>18.491</v>
      </c>
      <c r="G35" s="764">
        <f>'Section 10 data country'!$E$33</f>
        <v>139.34299999999999</v>
      </c>
      <c r="H35" s="766">
        <f>'Section 10 data country'!$F$33</f>
        <v>15.82</v>
      </c>
    </row>
    <row r="36" spans="2:8" ht="15" customHeight="1" x14ac:dyDescent="0.2">
      <c r="B36" s="763" t="s">
        <v>304</v>
      </c>
      <c r="C36" s="764">
        <f>'Section 10 data country'!$C$14</f>
        <v>27.157</v>
      </c>
      <c r="D36" s="764">
        <f>'Section 10 data country'!$C$34</f>
        <v>67.429000000000002</v>
      </c>
      <c r="E36" s="765">
        <f>'Section 10 data country'!$D$34</f>
        <v>18.55</v>
      </c>
      <c r="F36" s="764">
        <f>'Section 10 data country'!$F$14</f>
        <v>25.933</v>
      </c>
      <c r="G36" s="764">
        <f>'Section 10 data country'!$E$34</f>
        <v>57.585000000000001</v>
      </c>
      <c r="H36" s="766">
        <f>'Section 10 data country'!$F$34</f>
        <v>18.010000000000002</v>
      </c>
    </row>
    <row r="37" spans="2:8" ht="15" customHeight="1" x14ac:dyDescent="0.2">
      <c r="B37" s="763" t="s">
        <v>291</v>
      </c>
      <c r="C37" s="764">
        <f>'Section 10 data country'!$C$15</f>
        <v>531.601</v>
      </c>
      <c r="D37" s="764">
        <f>'Section 10 data country'!$C$35</f>
        <v>287.02800000000002</v>
      </c>
      <c r="E37" s="765">
        <f>'Section 10 data country'!$D$35</f>
        <v>18.52</v>
      </c>
      <c r="F37" s="764">
        <f>'Section 10 data country'!$F$15</f>
        <v>284.392</v>
      </c>
      <c r="G37" s="764">
        <f>'Section 10 data country'!$E$35</f>
        <v>374.25299999999999</v>
      </c>
      <c r="H37" s="766">
        <f>'Section 10 data country'!$F$35</f>
        <v>17.09</v>
      </c>
    </row>
    <row r="38" spans="2:8" ht="15" customHeight="1" x14ac:dyDescent="0.2">
      <c r="B38" s="763" t="s">
        <v>292</v>
      </c>
      <c r="C38" s="764">
        <f>'Section 10 data country'!$C$16</f>
        <v>45.831000000000003</v>
      </c>
      <c r="D38" s="764">
        <f>'Section 10 data country'!$C$36</f>
        <v>215.75200000000001</v>
      </c>
      <c r="E38" s="765">
        <f>'Section 10 data country'!$D$36</f>
        <v>13.41</v>
      </c>
      <c r="F38" s="764">
        <f>'Section 10 data country'!$F$16</f>
        <v>60.746000000000002</v>
      </c>
      <c r="G38" s="764">
        <f>'Section 10 data country'!$E$36</f>
        <v>244.52500000000001</v>
      </c>
      <c r="H38" s="766">
        <f>'Section 10 data country'!$F$36</f>
        <v>11.17</v>
      </c>
    </row>
    <row r="39" spans="2:8" ht="15" customHeight="1" x14ac:dyDescent="0.2">
      <c r="B39" s="763" t="s">
        <v>293</v>
      </c>
      <c r="C39" s="764">
        <f>'Section 10 data country'!$C$17</f>
        <v>6.26</v>
      </c>
      <c r="D39" s="764">
        <f>'Section 10 data country'!$C$37</f>
        <v>268.62799999999999</v>
      </c>
      <c r="E39" s="765">
        <f>'Section 10 data country'!$D$37</f>
        <v>16.62</v>
      </c>
      <c r="F39" s="764">
        <f>'Section 10 data country'!$F$17</f>
        <v>5.2220000000000004</v>
      </c>
      <c r="G39" s="764">
        <f>'Section 10 data country'!$E$37</f>
        <v>198.71100000000001</v>
      </c>
      <c r="H39" s="766">
        <f>'Section 10 data country'!$F$37</f>
        <v>11.38</v>
      </c>
    </row>
    <row r="40" spans="2:8" ht="15" customHeight="1" x14ac:dyDescent="0.2">
      <c r="B40" s="763" t="s">
        <v>294</v>
      </c>
      <c r="C40" s="764">
        <f>'Section 10 data country'!$C$18</f>
        <v>49.295000000000002</v>
      </c>
      <c r="D40" s="764">
        <f>'Section 10 data country'!$C$38</f>
        <v>352.09399999999999</v>
      </c>
      <c r="E40" s="765">
        <f>'Section 10 data country'!$D$38</f>
        <v>15.34</v>
      </c>
      <c r="F40" s="764">
        <f>'Section 10 data country'!$F$18</f>
        <v>62.314999999999998</v>
      </c>
      <c r="G40" s="764">
        <f>'Section 10 data country'!$E$38</f>
        <v>312.339</v>
      </c>
      <c r="H40" s="766">
        <f>'Section 10 data country'!$F$38</f>
        <v>13.78</v>
      </c>
    </row>
    <row r="41" spans="2:8" ht="15" customHeight="1" x14ac:dyDescent="0.2">
      <c r="B41" s="763" t="s">
        <v>295</v>
      </c>
      <c r="C41" s="764">
        <f>'Section 10 data country'!$C$19</f>
        <v>119.86199999999999</v>
      </c>
      <c r="D41" s="764">
        <f>'Section 10 data country'!$C$39</f>
        <v>467.99599999999998</v>
      </c>
      <c r="E41" s="765">
        <f>'Section 10 data country'!$D$39</f>
        <v>15.18</v>
      </c>
      <c r="F41" s="764">
        <f>'Section 10 data country'!$F$19</f>
        <v>143.47499999999999</v>
      </c>
      <c r="G41" s="764">
        <f>'Section 10 data country'!$E$39</f>
        <v>420.09199999999998</v>
      </c>
      <c r="H41" s="766">
        <f>'Section 10 data country'!$F$39</f>
        <v>14.44</v>
      </c>
    </row>
    <row r="42" spans="2:8" ht="15" customHeight="1" x14ac:dyDescent="0.2">
      <c r="B42" s="767" t="s">
        <v>296</v>
      </c>
      <c r="C42" s="768">
        <f>'Section 10 data country'!$C$20</f>
        <v>100.446</v>
      </c>
      <c r="D42" s="768">
        <f>'Section 10 data country'!$C$40</f>
        <v>273.24700000000001</v>
      </c>
      <c r="E42" s="769">
        <f>'Section 10 data country'!$D$40</f>
        <v>10.98</v>
      </c>
      <c r="F42" s="768">
        <f>'Section 10 data country'!$F$20</f>
        <v>99.02</v>
      </c>
      <c r="G42" s="768">
        <f>'Section 10 data country'!$E$40</f>
        <v>322.80900000000003</v>
      </c>
      <c r="H42" s="770">
        <f>'Section 10 data country'!$F$40</f>
        <v>15.41</v>
      </c>
    </row>
    <row r="45" spans="2:8" ht="15" customHeight="1" x14ac:dyDescent="0.2">
      <c r="B45" s="1109" t="s">
        <v>380</v>
      </c>
      <c r="C45" s="1089" t="s">
        <v>225</v>
      </c>
      <c r="D45" s="1089"/>
      <c r="E45" s="1089"/>
      <c r="F45" s="1089" t="s">
        <v>226</v>
      </c>
      <c r="G45" s="1089"/>
      <c r="H45" s="1018"/>
    </row>
    <row r="46" spans="2:8" ht="15" customHeight="1" x14ac:dyDescent="0.2">
      <c r="B46" s="1110"/>
      <c r="C46" s="732" t="s">
        <v>78</v>
      </c>
      <c r="D46" s="1091" t="s">
        <v>79</v>
      </c>
      <c r="E46" s="1091"/>
      <c r="F46" s="732" t="s">
        <v>78</v>
      </c>
      <c r="G46" s="1091" t="s">
        <v>79</v>
      </c>
      <c r="H46" s="1013"/>
    </row>
    <row r="47" spans="2:8" ht="30" customHeight="1" x14ac:dyDescent="0.2">
      <c r="B47" s="1110"/>
      <c r="C47" s="1090" t="s">
        <v>326</v>
      </c>
      <c r="D47" s="1090"/>
      <c r="E47" s="130" t="s">
        <v>82</v>
      </c>
      <c r="F47" s="1090" t="s">
        <v>326</v>
      </c>
      <c r="G47" s="1090"/>
      <c r="H47" s="131" t="s">
        <v>82</v>
      </c>
    </row>
    <row r="48" spans="2:8" ht="15" customHeight="1" x14ac:dyDescent="0.2">
      <c r="B48" s="759" t="str">
        <f>Index!$B$4</f>
        <v>England</v>
      </c>
      <c r="C48" s="760">
        <f>'Section 10 data country'!$E$6</f>
        <v>1122.9359999999999</v>
      </c>
      <c r="D48" s="760">
        <f>'Section 10 data country'!$G$26</f>
        <v>2956.4490000000001</v>
      </c>
      <c r="E48" s="761">
        <f>'Section 10 data country'!$H$26</f>
        <v>5.0877422572868625</v>
      </c>
      <c r="F48" s="760">
        <f>'Section 10 data country'!$F$6</f>
        <v>1146.115</v>
      </c>
      <c r="G48" s="760">
        <f>'Section 10 data country'!$I$26</f>
        <v>3052.6990000000001</v>
      </c>
      <c r="H48" s="762">
        <f>'Section 10 data country'!$J$26</f>
        <v>5.1812754658331821</v>
      </c>
    </row>
    <row r="49" spans="2:8" ht="15" customHeight="1" x14ac:dyDescent="0.2">
      <c r="B49" s="763" t="s">
        <v>286</v>
      </c>
      <c r="C49" s="764">
        <f>'Section 10 data country'!$E$7</f>
        <v>143.113</v>
      </c>
      <c r="D49" s="764">
        <f>'Section 10 data country'!$G$27</f>
        <v>420.42200000000003</v>
      </c>
      <c r="E49" s="765">
        <f>'Section 10 data country'!$H$27</f>
        <v>18.03</v>
      </c>
      <c r="F49" s="764">
        <f>'Section 10 data country'!$F$7</f>
        <v>145.471</v>
      </c>
      <c r="G49" s="764">
        <f>'Section 10 data country'!$I$27</f>
        <v>350.44</v>
      </c>
      <c r="H49" s="766">
        <f>'Section 10 data country'!$J$27</f>
        <v>15.81</v>
      </c>
    </row>
    <row r="50" spans="2:8" ht="15" customHeight="1" x14ac:dyDescent="0.2">
      <c r="B50" s="763" t="s">
        <v>298</v>
      </c>
      <c r="C50" s="764">
        <f>'Section 10 data country'!$E$8</f>
        <v>72.724000000000004</v>
      </c>
      <c r="D50" s="764">
        <f>'Section 10 data country'!$G$28</f>
        <v>232.18</v>
      </c>
      <c r="E50" s="765">
        <f>'Section 10 data country'!$H$28</f>
        <v>11.5</v>
      </c>
      <c r="F50" s="764">
        <f>'Section 10 data country'!$F$8</f>
        <v>92.063000000000002</v>
      </c>
      <c r="G50" s="764">
        <f>'Section 10 data country'!$I$28</f>
        <v>212.33600000000001</v>
      </c>
      <c r="H50" s="766">
        <f>'Section 10 data country'!$J$28</f>
        <v>14.74</v>
      </c>
    </row>
    <row r="51" spans="2:8" ht="15" customHeight="1" x14ac:dyDescent="0.2">
      <c r="B51" s="763" t="s">
        <v>287</v>
      </c>
      <c r="C51" s="764">
        <f>'Section 10 data country'!$E$9</f>
        <v>142.75700000000001</v>
      </c>
      <c r="D51" s="764">
        <f>'Section 10 data country'!$G$29</f>
        <v>164.31299999999999</v>
      </c>
      <c r="E51" s="765">
        <f>'Section 10 data country'!$H$29</f>
        <v>17.68</v>
      </c>
      <c r="F51" s="764">
        <f>'Section 10 data country'!$F$9</f>
        <v>163.97300000000001</v>
      </c>
      <c r="G51" s="764">
        <f>'Section 10 data country'!$I$29</f>
        <v>251.798</v>
      </c>
      <c r="H51" s="766">
        <f>'Section 10 data country'!$J$29</f>
        <v>18.3</v>
      </c>
    </row>
    <row r="52" spans="2:8" ht="15" customHeight="1" x14ac:dyDescent="0.2">
      <c r="B52" s="763" t="s">
        <v>288</v>
      </c>
      <c r="C52" s="764">
        <f>'Section 10 data country'!$E$10</f>
        <v>45.317</v>
      </c>
      <c r="D52" s="764">
        <f>'Section 10 data country'!$G$30</f>
        <v>134.94200000000001</v>
      </c>
      <c r="E52" s="765">
        <f>'Section 10 data country'!$H$30</f>
        <v>29.77</v>
      </c>
      <c r="F52" s="764">
        <f>'Section 10 data country'!$F$10</f>
        <v>38.831000000000003</v>
      </c>
      <c r="G52" s="764">
        <f>'Section 10 data country'!$I$30</f>
        <v>136.261</v>
      </c>
      <c r="H52" s="766">
        <f>'Section 10 data country'!$J$30</f>
        <v>22.44</v>
      </c>
    </row>
    <row r="53" spans="2:8" ht="15" customHeight="1" x14ac:dyDescent="0.2">
      <c r="B53" s="763" t="s">
        <v>301</v>
      </c>
      <c r="C53" s="764">
        <f>'Section 10 data country'!$E$11</f>
        <v>6.3460000000000001</v>
      </c>
      <c r="D53" s="764">
        <f>'Section 10 data country'!$G$31</f>
        <v>23.611000000000001</v>
      </c>
      <c r="E53" s="765">
        <f>'Section 10 data country'!$H$31</f>
        <v>27.54</v>
      </c>
      <c r="F53" s="764">
        <f>'Section 10 data country'!$F$11</f>
        <v>4.5709999999999997</v>
      </c>
      <c r="G53" s="764">
        <f>'Section 10 data country'!$I$31</f>
        <v>29.257999999999999</v>
      </c>
      <c r="H53" s="766">
        <f>'Section 10 data country'!$J$31</f>
        <v>30.38</v>
      </c>
    </row>
    <row r="54" spans="2:8" ht="15" customHeight="1" x14ac:dyDescent="0.2">
      <c r="B54" s="763" t="s">
        <v>302</v>
      </c>
      <c r="C54" s="764">
        <f>'Section 10 data country'!$E$12</f>
        <v>0.48699999999999999</v>
      </c>
      <c r="D54" s="764">
        <f>'Section 10 data country'!$G$32</f>
        <v>48.756999999999998</v>
      </c>
      <c r="E54" s="765">
        <f>'Section 10 data country'!$H$32</f>
        <v>30.01</v>
      </c>
      <c r="F54" s="764">
        <f>'Section 10 data country'!$F$12</f>
        <v>1.6120000000000001</v>
      </c>
      <c r="G54" s="764">
        <f>'Section 10 data country'!$I$32</f>
        <v>21.864000000000001</v>
      </c>
      <c r="H54" s="766">
        <f>'Section 10 data country'!$J$32</f>
        <v>23.89</v>
      </c>
    </row>
    <row r="55" spans="2:8" ht="15" customHeight="1" x14ac:dyDescent="0.2">
      <c r="B55" s="763" t="s">
        <v>303</v>
      </c>
      <c r="C55" s="764">
        <f>'Section 10 data country'!$E$13</f>
        <v>13.680999999999999</v>
      </c>
      <c r="D55" s="764">
        <f>'Section 10 data country'!$G$33</f>
        <v>172.786</v>
      </c>
      <c r="E55" s="765">
        <f>'Section 10 data country'!$H$33</f>
        <v>18.29</v>
      </c>
      <c r="F55" s="764">
        <f>'Section 10 data country'!$F$13</f>
        <v>18.491</v>
      </c>
      <c r="G55" s="764">
        <f>'Section 10 data country'!$I$33</f>
        <v>93.953999999999994</v>
      </c>
      <c r="H55" s="766">
        <f>'Section 10 data country'!$J$33</f>
        <v>22.78</v>
      </c>
    </row>
    <row r="56" spans="2:8" ht="15" customHeight="1" x14ac:dyDescent="0.2">
      <c r="B56" s="763" t="s">
        <v>304</v>
      </c>
      <c r="C56" s="764">
        <f>'Section 10 data country'!$E$14</f>
        <v>21.478999999999999</v>
      </c>
      <c r="D56" s="764">
        <f>'Section 10 data country'!$G$34</f>
        <v>42.152000000000001</v>
      </c>
      <c r="E56" s="765">
        <f>'Section 10 data country'!$H$34</f>
        <v>15.32</v>
      </c>
      <c r="F56" s="764">
        <f>'Section 10 data country'!$F$14</f>
        <v>25.933</v>
      </c>
      <c r="G56" s="764">
        <f>'Section 10 data country'!$I$34</f>
        <v>70.442999999999998</v>
      </c>
      <c r="H56" s="766">
        <f>'Section 10 data country'!$J$34</f>
        <v>19.45</v>
      </c>
    </row>
    <row r="57" spans="2:8" ht="15" customHeight="1" x14ac:dyDescent="0.2">
      <c r="B57" s="763" t="s">
        <v>291</v>
      </c>
      <c r="C57" s="764">
        <f>'Section 10 data country'!$E$15</f>
        <v>306.07900000000001</v>
      </c>
      <c r="D57" s="764">
        <f>'Section 10 data country'!$G$35</f>
        <v>370.53500000000003</v>
      </c>
      <c r="E57" s="765">
        <f>'Section 10 data country'!$H$35</f>
        <v>16.57</v>
      </c>
      <c r="F57" s="764">
        <f>'Section 10 data country'!$F$15</f>
        <v>284.392</v>
      </c>
      <c r="G57" s="764">
        <f>'Section 10 data country'!$I$35</f>
        <v>488.64299999999997</v>
      </c>
      <c r="H57" s="766">
        <f>'Section 10 data country'!$J$35</f>
        <v>18.55</v>
      </c>
    </row>
    <row r="58" spans="2:8" ht="15" customHeight="1" x14ac:dyDescent="0.2">
      <c r="B58" s="763" t="s">
        <v>292</v>
      </c>
      <c r="C58" s="764">
        <f>'Section 10 data country'!$E$16</f>
        <v>50.536000000000001</v>
      </c>
      <c r="D58" s="764">
        <f>'Section 10 data country'!$G$36</f>
        <v>207.72200000000001</v>
      </c>
      <c r="E58" s="765">
        <f>'Section 10 data country'!$H$36</f>
        <v>13.01</v>
      </c>
      <c r="F58" s="764">
        <f>'Section 10 data country'!$F$16</f>
        <v>60.746000000000002</v>
      </c>
      <c r="G58" s="764">
        <f>'Section 10 data country'!$I$36</f>
        <v>217.655</v>
      </c>
      <c r="H58" s="766">
        <f>'Section 10 data country'!$J$36</f>
        <v>13.9</v>
      </c>
    </row>
    <row r="59" spans="2:8" ht="15" customHeight="1" x14ac:dyDescent="0.2">
      <c r="B59" s="763" t="s">
        <v>293</v>
      </c>
      <c r="C59" s="764">
        <f>'Section 10 data country'!$E$17</f>
        <v>7.3289999999999997</v>
      </c>
      <c r="D59" s="764">
        <f>'Section 10 data country'!$G$37</f>
        <v>222.637</v>
      </c>
      <c r="E59" s="765">
        <f>'Section 10 data country'!$H$37</f>
        <v>13.71</v>
      </c>
      <c r="F59" s="764">
        <f>'Section 10 data country'!$F$17</f>
        <v>5.2220000000000004</v>
      </c>
      <c r="G59" s="764">
        <f>'Section 10 data country'!$I$37</f>
        <v>318.28699999999998</v>
      </c>
      <c r="H59" s="766">
        <f>'Section 10 data country'!$J$37</f>
        <v>14.55</v>
      </c>
    </row>
    <row r="60" spans="2:8" ht="15" customHeight="1" x14ac:dyDescent="0.2">
      <c r="B60" s="763" t="s">
        <v>294</v>
      </c>
      <c r="C60" s="764">
        <f>'Section 10 data country'!$E$18</f>
        <v>51.792000000000002</v>
      </c>
      <c r="D60" s="764">
        <f>'Section 10 data country'!$G$38</f>
        <v>247.75899999999999</v>
      </c>
      <c r="E60" s="765">
        <f>'Section 10 data country'!$H$38</f>
        <v>16.149999999999999</v>
      </c>
      <c r="F60" s="764">
        <f>'Section 10 data country'!$F$18</f>
        <v>62.314999999999998</v>
      </c>
      <c r="G60" s="764">
        <f>'Section 10 data country'!$I$38</f>
        <v>245.41300000000001</v>
      </c>
      <c r="H60" s="766">
        <f>'Section 10 data country'!$J$38</f>
        <v>12.48</v>
      </c>
    </row>
    <row r="61" spans="2:8" ht="15" customHeight="1" x14ac:dyDescent="0.2">
      <c r="B61" s="763" t="s">
        <v>295</v>
      </c>
      <c r="C61" s="764">
        <f>'Section 10 data country'!$E$19</f>
        <v>145.24</v>
      </c>
      <c r="D61" s="764">
        <f>'Section 10 data country'!$G$39</f>
        <v>370.84199999999998</v>
      </c>
      <c r="E61" s="765">
        <f>'Section 10 data country'!$H$39</f>
        <v>17.559999999999999</v>
      </c>
      <c r="F61" s="764">
        <f>'Section 10 data country'!$F$19</f>
        <v>143.47499999999999</v>
      </c>
      <c r="G61" s="764">
        <f>'Section 10 data country'!$I$39</f>
        <v>286.964</v>
      </c>
      <c r="H61" s="766">
        <f>'Section 10 data country'!$J$39</f>
        <v>14.65</v>
      </c>
    </row>
    <row r="62" spans="2:8" ht="15" customHeight="1" x14ac:dyDescent="0.2">
      <c r="B62" s="767" t="s">
        <v>296</v>
      </c>
      <c r="C62" s="768">
        <f>'Section 10 data country'!$E$20</f>
        <v>116.056</v>
      </c>
      <c r="D62" s="768">
        <f>'Section 10 data country'!$G$40</f>
        <v>297.791</v>
      </c>
      <c r="E62" s="769">
        <f>'Section 10 data country'!$H$40</f>
        <v>11.33</v>
      </c>
      <c r="F62" s="768">
        <f>'Section 10 data country'!$F$20</f>
        <v>99.02</v>
      </c>
      <c r="G62" s="768">
        <f>'Section 10 data country'!$I$40</f>
        <v>329.38299999999998</v>
      </c>
      <c r="H62" s="770">
        <f>'Section 10 data country'!$J$40</f>
        <v>17.11</v>
      </c>
    </row>
    <row r="65" spans="2:8" ht="15" customHeight="1" x14ac:dyDescent="0.2">
      <c r="B65" s="1109" t="s">
        <v>380</v>
      </c>
      <c r="C65" s="1089" t="s">
        <v>227</v>
      </c>
      <c r="D65" s="1089"/>
      <c r="E65" s="1089"/>
      <c r="F65" s="1089" t="s">
        <v>228</v>
      </c>
      <c r="G65" s="1089"/>
      <c r="H65" s="1018"/>
    </row>
    <row r="66" spans="2:8" ht="15" customHeight="1" x14ac:dyDescent="0.2">
      <c r="B66" s="1110"/>
      <c r="C66" s="732" t="s">
        <v>78</v>
      </c>
      <c r="D66" s="1091" t="s">
        <v>79</v>
      </c>
      <c r="E66" s="1091"/>
      <c r="F66" s="732" t="s">
        <v>78</v>
      </c>
      <c r="G66" s="1091" t="s">
        <v>79</v>
      </c>
      <c r="H66" s="1013"/>
    </row>
    <row r="67" spans="2:8" ht="30" customHeight="1" x14ac:dyDescent="0.2">
      <c r="B67" s="1110"/>
      <c r="C67" s="1090" t="s">
        <v>326</v>
      </c>
      <c r="D67" s="1090"/>
      <c r="E67" s="130" t="s">
        <v>82</v>
      </c>
      <c r="F67" s="1090" t="s">
        <v>326</v>
      </c>
      <c r="G67" s="1090"/>
      <c r="H67" s="131" t="s">
        <v>82</v>
      </c>
    </row>
    <row r="68" spans="2:8" ht="15" customHeight="1" x14ac:dyDescent="0.2">
      <c r="B68" s="759" t="str">
        <f>Index!$B$4</f>
        <v>England</v>
      </c>
      <c r="C68" s="760">
        <f>'Section 10 data country'!$G$6</f>
        <v>1094.79</v>
      </c>
      <c r="D68" s="760">
        <f>'Section 10 data country'!$K$26</f>
        <v>2910.4050000000002</v>
      </c>
      <c r="E68" s="761">
        <f>'Section 10 data country'!$L$26</f>
        <v>5.8810833804531484</v>
      </c>
      <c r="F68" s="760">
        <f>'Section 10 data country'!$H$6</f>
        <v>1100.3589999999999</v>
      </c>
      <c r="G68" s="760">
        <f>'Section 10 data country'!$M$26</f>
        <v>2272.7440000000001</v>
      </c>
      <c r="H68" s="762">
        <f>'Section 10 data country'!$N$26</f>
        <v>6.3794291254089313</v>
      </c>
    </row>
    <row r="69" spans="2:8" ht="15" customHeight="1" x14ac:dyDescent="0.2">
      <c r="B69" s="763" t="s">
        <v>286</v>
      </c>
      <c r="C69" s="764">
        <f>'Section 10 data country'!$G$7</f>
        <v>109.753</v>
      </c>
      <c r="D69" s="764">
        <f>'Section 10 data country'!$K$27</f>
        <v>257.19099999999997</v>
      </c>
      <c r="E69" s="765">
        <f>'Section 10 data country'!$L$27</f>
        <v>19.52</v>
      </c>
      <c r="F69" s="764">
        <f>'Section 10 data country'!$H$7</f>
        <v>130.58199999999999</v>
      </c>
      <c r="G69" s="764">
        <f>'Section 10 data country'!$M$27</f>
        <v>166.393</v>
      </c>
      <c r="H69" s="766">
        <f>'Section 10 data country'!$N$27</f>
        <v>14.57</v>
      </c>
    </row>
    <row r="70" spans="2:8" ht="15" customHeight="1" x14ac:dyDescent="0.2">
      <c r="B70" s="763" t="s">
        <v>298</v>
      </c>
      <c r="C70" s="764">
        <f>'Section 10 data country'!$G$8</f>
        <v>76.516999999999996</v>
      </c>
      <c r="D70" s="764">
        <f>'Section 10 data country'!$K$28</f>
        <v>227.797</v>
      </c>
      <c r="E70" s="765">
        <f>'Section 10 data country'!$L$28</f>
        <v>14.85</v>
      </c>
      <c r="F70" s="764">
        <f>'Section 10 data country'!$H$8</f>
        <v>89.004999999999995</v>
      </c>
      <c r="G70" s="764">
        <f>'Section 10 data country'!$M$28</f>
        <v>166.84</v>
      </c>
      <c r="H70" s="766">
        <f>'Section 10 data country'!$N$28</f>
        <v>21.27</v>
      </c>
    </row>
    <row r="71" spans="2:8" ht="15" customHeight="1" x14ac:dyDescent="0.2">
      <c r="B71" s="763" t="s">
        <v>287</v>
      </c>
      <c r="C71" s="764">
        <f>'Section 10 data country'!$G$9</f>
        <v>163.97300000000001</v>
      </c>
      <c r="D71" s="764">
        <f>'Section 10 data country'!$K$29</f>
        <v>269.90499999999997</v>
      </c>
      <c r="E71" s="765">
        <f>'Section 10 data country'!$L$29</f>
        <v>16.97</v>
      </c>
      <c r="F71" s="764">
        <f>'Section 10 data country'!$H$9</f>
        <v>169.017</v>
      </c>
      <c r="G71" s="764">
        <f>'Section 10 data country'!$M$29</f>
        <v>213.79300000000001</v>
      </c>
      <c r="H71" s="766">
        <f>'Section 10 data country'!$N$29</f>
        <v>19.66</v>
      </c>
    </row>
    <row r="72" spans="2:8" ht="15" customHeight="1" x14ac:dyDescent="0.2">
      <c r="B72" s="763" t="s">
        <v>288</v>
      </c>
      <c r="C72" s="764">
        <f>'Section 10 data country'!$G$10</f>
        <v>47.055999999999997</v>
      </c>
      <c r="D72" s="764">
        <f>'Section 10 data country'!$K$30</f>
        <v>63.215000000000003</v>
      </c>
      <c r="E72" s="765">
        <f>'Section 10 data country'!$L$30</f>
        <v>20.62</v>
      </c>
      <c r="F72" s="764">
        <f>'Section 10 data country'!$H$10</f>
        <v>33.167999999999999</v>
      </c>
      <c r="G72" s="764">
        <f>'Section 10 data country'!$M$30</f>
        <v>80.111000000000004</v>
      </c>
      <c r="H72" s="766">
        <f>'Section 10 data country'!$N$30</f>
        <v>39.979999999999997</v>
      </c>
    </row>
    <row r="73" spans="2:8" ht="15" customHeight="1" x14ac:dyDescent="0.2">
      <c r="B73" s="763" t="s">
        <v>301</v>
      </c>
      <c r="C73" s="764">
        <f>'Section 10 data country'!$G$11</f>
        <v>5.9619999999999997</v>
      </c>
      <c r="D73" s="764">
        <f>'Section 10 data country'!$K$31</f>
        <v>28.265000000000001</v>
      </c>
      <c r="E73" s="765">
        <f>'Section 10 data country'!$L$31</f>
        <v>42.71</v>
      </c>
      <c r="F73" s="764">
        <f>'Section 10 data country'!$H$11</f>
        <v>5.3179999999999996</v>
      </c>
      <c r="G73" s="764">
        <f>'Section 10 data country'!$M$31</f>
        <v>19.815999999999999</v>
      </c>
      <c r="H73" s="766">
        <f>'Section 10 data country'!$N$31</f>
        <v>32.51</v>
      </c>
    </row>
    <row r="74" spans="2:8" ht="15" customHeight="1" x14ac:dyDescent="0.2">
      <c r="B74" s="763" t="s">
        <v>302</v>
      </c>
      <c r="C74" s="764">
        <f>'Section 10 data country'!$G$12</f>
        <v>2.3420000000000001</v>
      </c>
      <c r="D74" s="764">
        <f>'Section 10 data country'!$K$32</f>
        <v>52.98</v>
      </c>
      <c r="E74" s="765">
        <f>'Section 10 data country'!$L$32</f>
        <v>58.36</v>
      </c>
      <c r="F74" s="764">
        <f>'Section 10 data country'!$H$12</f>
        <v>8.0280000000000005</v>
      </c>
      <c r="G74" s="764">
        <f>'Section 10 data country'!$M$32</f>
        <v>58.429000000000002</v>
      </c>
      <c r="H74" s="766">
        <f>'Section 10 data country'!$N$32</f>
        <v>33.86</v>
      </c>
    </row>
    <row r="75" spans="2:8" ht="15" customHeight="1" x14ac:dyDescent="0.2">
      <c r="B75" s="763" t="s">
        <v>303</v>
      </c>
      <c r="C75" s="764">
        <f>'Section 10 data country'!$G$13</f>
        <v>19.349</v>
      </c>
      <c r="D75" s="764">
        <f>'Section 10 data country'!$K$33</f>
        <v>86.736999999999995</v>
      </c>
      <c r="E75" s="765">
        <f>'Section 10 data country'!$L$33</f>
        <v>25.34</v>
      </c>
      <c r="F75" s="764">
        <f>'Section 10 data country'!$H$13</f>
        <v>25.274999999999999</v>
      </c>
      <c r="G75" s="764">
        <f>'Section 10 data country'!$M$33</f>
        <v>116.59699999999999</v>
      </c>
      <c r="H75" s="766">
        <f>'Section 10 data country'!$N$33</f>
        <v>22.62</v>
      </c>
    </row>
    <row r="76" spans="2:8" ht="15" customHeight="1" x14ac:dyDescent="0.2">
      <c r="B76" s="763" t="s">
        <v>304</v>
      </c>
      <c r="C76" s="764">
        <f>'Section 10 data country'!$G$14</f>
        <v>23.922000000000001</v>
      </c>
      <c r="D76" s="764">
        <f>'Section 10 data country'!$K$34</f>
        <v>80.106999999999999</v>
      </c>
      <c r="E76" s="765">
        <f>'Section 10 data country'!$L$34</f>
        <v>22.38</v>
      </c>
      <c r="F76" s="764">
        <f>'Section 10 data country'!$H$14</f>
        <v>20.381</v>
      </c>
      <c r="G76" s="764">
        <f>'Section 10 data country'!$M$34</f>
        <v>47.362000000000002</v>
      </c>
      <c r="H76" s="766">
        <f>'Section 10 data country'!$N$34</f>
        <v>24.58</v>
      </c>
    </row>
    <row r="77" spans="2:8" ht="15" customHeight="1" x14ac:dyDescent="0.2">
      <c r="B77" s="763" t="s">
        <v>291</v>
      </c>
      <c r="C77" s="764">
        <f>'Section 10 data country'!$G$15</f>
        <v>284.07400000000001</v>
      </c>
      <c r="D77" s="764">
        <f>'Section 10 data country'!$K$35</f>
        <v>543.79</v>
      </c>
      <c r="E77" s="765">
        <f>'Section 10 data country'!$L$35</f>
        <v>19.170000000000002</v>
      </c>
      <c r="F77" s="764">
        <f>'Section 10 data country'!$H$15</f>
        <v>239.82499999999999</v>
      </c>
      <c r="G77" s="764">
        <f>'Section 10 data country'!$M$35</f>
        <v>491.47399999999999</v>
      </c>
      <c r="H77" s="766">
        <f>'Section 10 data country'!$N$35</f>
        <v>18.88</v>
      </c>
    </row>
    <row r="78" spans="2:8" ht="15" customHeight="1" x14ac:dyDescent="0.2">
      <c r="B78" s="763" t="s">
        <v>292</v>
      </c>
      <c r="C78" s="764">
        <f>'Section 10 data country'!$G$16</f>
        <v>62.706000000000003</v>
      </c>
      <c r="D78" s="764">
        <f>'Section 10 data country'!$K$36</f>
        <v>220.10900000000001</v>
      </c>
      <c r="E78" s="765">
        <f>'Section 10 data country'!$L$36</f>
        <v>16.22</v>
      </c>
      <c r="F78" s="764">
        <f>'Section 10 data country'!$H$16</f>
        <v>74.778000000000006</v>
      </c>
      <c r="G78" s="764">
        <f>'Section 10 data country'!$M$36</f>
        <v>136.70099999999999</v>
      </c>
      <c r="H78" s="766">
        <f>'Section 10 data country'!$N$36</f>
        <v>22.56</v>
      </c>
    </row>
    <row r="79" spans="2:8" ht="15" customHeight="1" x14ac:dyDescent="0.2">
      <c r="B79" s="763" t="s">
        <v>293</v>
      </c>
      <c r="C79" s="764">
        <f>'Section 10 data country'!$G$17</f>
        <v>6.5110000000000001</v>
      </c>
      <c r="D79" s="764">
        <f>'Section 10 data country'!$K$37</f>
        <v>226.78299999999999</v>
      </c>
      <c r="E79" s="765">
        <f>'Section 10 data country'!$L$37</f>
        <v>17.66</v>
      </c>
      <c r="F79" s="764">
        <f>'Section 10 data country'!$H$17</f>
        <v>18.823</v>
      </c>
      <c r="G79" s="764">
        <f>'Section 10 data country'!$M$37</f>
        <v>196.238</v>
      </c>
      <c r="H79" s="766">
        <f>'Section 10 data country'!$N$37</f>
        <v>22.79</v>
      </c>
    </row>
    <row r="80" spans="2:8" ht="15" customHeight="1" x14ac:dyDescent="0.2">
      <c r="B80" s="763" t="s">
        <v>294</v>
      </c>
      <c r="C80" s="764">
        <f>'Section 10 data country'!$G$18</f>
        <v>53.054000000000002</v>
      </c>
      <c r="D80" s="764">
        <f>'Section 10 data country'!$K$38</f>
        <v>187.584</v>
      </c>
      <c r="E80" s="765">
        <f>'Section 10 data country'!$L$38</f>
        <v>13.34</v>
      </c>
      <c r="F80" s="764">
        <f>'Section 10 data country'!$H$18</f>
        <v>60.503999999999998</v>
      </c>
      <c r="G80" s="764">
        <f>'Section 10 data country'!$M$38</f>
        <v>155.52799999999999</v>
      </c>
      <c r="H80" s="766">
        <f>'Section 10 data country'!$N$38</f>
        <v>12.49</v>
      </c>
    </row>
    <row r="81" spans="2:8" ht="15" customHeight="1" x14ac:dyDescent="0.2">
      <c r="B81" s="763" t="s">
        <v>295</v>
      </c>
      <c r="C81" s="764">
        <f>'Section 10 data country'!$G$19</f>
        <v>128.51900000000001</v>
      </c>
      <c r="D81" s="764">
        <f>'Section 10 data country'!$K$39</f>
        <v>446.91</v>
      </c>
      <c r="E81" s="765">
        <f>'Section 10 data country'!$L$39</f>
        <v>17.71</v>
      </c>
      <c r="F81" s="764">
        <f>'Section 10 data country'!$H$19</f>
        <v>131.70500000000001</v>
      </c>
      <c r="G81" s="764">
        <f>'Section 10 data country'!$M$39</f>
        <v>221.53100000000001</v>
      </c>
      <c r="H81" s="766">
        <f>'Section 10 data country'!$N$39</f>
        <v>21.03</v>
      </c>
    </row>
    <row r="82" spans="2:8" ht="15" customHeight="1" x14ac:dyDescent="0.2">
      <c r="B82" s="767" t="s">
        <v>296</v>
      </c>
      <c r="C82" s="768">
        <f>'Section 10 data country'!$G$20</f>
        <v>111.05200000000001</v>
      </c>
      <c r="D82" s="768">
        <f>'Section 10 data country'!$K$40</f>
        <v>219.03200000000001</v>
      </c>
      <c r="E82" s="769">
        <f>'Section 10 data country'!$L$40</f>
        <v>13.09</v>
      </c>
      <c r="F82" s="768">
        <f>'Section 10 data country'!$H$20</f>
        <v>93.95</v>
      </c>
      <c r="G82" s="768">
        <f>'Section 10 data country'!$M$40</f>
        <v>201.93100000000001</v>
      </c>
      <c r="H82" s="770">
        <f>'Section 10 data country'!$N$40</f>
        <v>15.73</v>
      </c>
    </row>
    <row r="85" spans="2:8" ht="15" customHeight="1" x14ac:dyDescent="0.2">
      <c r="B85" s="1109" t="s">
        <v>380</v>
      </c>
      <c r="C85" s="1089" t="s">
        <v>333</v>
      </c>
      <c r="D85" s="1089"/>
      <c r="E85" s="1089"/>
      <c r="F85" s="1089" t="s">
        <v>334</v>
      </c>
      <c r="G85" s="1089"/>
      <c r="H85" s="1018"/>
    </row>
    <row r="86" spans="2:8" ht="15" customHeight="1" x14ac:dyDescent="0.2">
      <c r="B86" s="1110"/>
      <c r="C86" s="732" t="s">
        <v>78</v>
      </c>
      <c r="D86" s="1091" t="s">
        <v>79</v>
      </c>
      <c r="E86" s="1091"/>
      <c r="F86" s="732" t="s">
        <v>78</v>
      </c>
      <c r="G86" s="1091" t="s">
        <v>79</v>
      </c>
      <c r="H86" s="1013"/>
    </row>
    <row r="87" spans="2:8" ht="30" customHeight="1" x14ac:dyDescent="0.2">
      <c r="B87" s="1110"/>
      <c r="C87" s="1090" t="s">
        <v>326</v>
      </c>
      <c r="D87" s="1090"/>
      <c r="E87" s="130" t="s">
        <v>82</v>
      </c>
      <c r="F87" s="1090" t="s">
        <v>326</v>
      </c>
      <c r="G87" s="1090"/>
      <c r="H87" s="131" t="s">
        <v>82</v>
      </c>
    </row>
    <row r="88" spans="2:8" ht="15" customHeight="1" x14ac:dyDescent="0.2">
      <c r="B88" s="759" t="str">
        <f>Index!$B$4</f>
        <v>England</v>
      </c>
      <c r="C88" s="760">
        <f>'Section 10 data country'!$I$6</f>
        <v>1120.8820000000001</v>
      </c>
      <c r="D88" s="760">
        <f>'Section 10 data country'!$O$26</f>
        <v>1864.1179999999999</v>
      </c>
      <c r="E88" s="761">
        <f>'Section 10 data country'!$P$26</f>
        <v>6.0087275633713189</v>
      </c>
      <c r="F88" s="760">
        <f>'Section 10 data country'!$J$6</f>
        <v>1071.3800000000001</v>
      </c>
      <c r="G88" s="760">
        <f>'Section 10 data country'!$Q$26</f>
        <v>1537.9449999999999</v>
      </c>
      <c r="H88" s="762">
        <f>'Section 10 data country'!$R$26</f>
        <v>5.3753890135659841</v>
      </c>
    </row>
    <row r="89" spans="2:8" ht="15" customHeight="1" x14ac:dyDescent="0.2">
      <c r="B89" s="763" t="s">
        <v>286</v>
      </c>
      <c r="C89" s="764">
        <f>'Section 10 data country'!$I$7</f>
        <v>116.366</v>
      </c>
      <c r="D89" s="764">
        <f>'Section 10 data country'!$O$27</f>
        <v>201.227</v>
      </c>
      <c r="E89" s="765">
        <f>'Section 10 data country'!$P$27</f>
        <v>18.16</v>
      </c>
      <c r="F89" s="764">
        <f>'Section 10 data country'!$J$7</f>
        <v>99.707999999999998</v>
      </c>
      <c r="G89" s="764">
        <f>'Section 10 data country'!$Q$27</f>
        <v>148.386</v>
      </c>
      <c r="H89" s="766">
        <f>'Section 10 data country'!$R$27</f>
        <v>14.64</v>
      </c>
    </row>
    <row r="90" spans="2:8" ht="15" customHeight="1" x14ac:dyDescent="0.2">
      <c r="B90" s="763" t="s">
        <v>298</v>
      </c>
      <c r="C90" s="764">
        <f>'Section 10 data country'!$I$8</f>
        <v>84.558000000000007</v>
      </c>
      <c r="D90" s="764">
        <f>'Section 10 data country'!$O$28</f>
        <v>181.90899999999999</v>
      </c>
      <c r="E90" s="765">
        <f>'Section 10 data country'!$P$28</f>
        <v>15.4</v>
      </c>
      <c r="F90" s="764">
        <f>'Section 10 data country'!$J$8</f>
        <v>105.60299999999999</v>
      </c>
      <c r="G90" s="764">
        <f>'Section 10 data country'!$Q$28</f>
        <v>183.56899999999999</v>
      </c>
      <c r="H90" s="766">
        <f>'Section 10 data country'!$R$28</f>
        <v>15.26</v>
      </c>
    </row>
    <row r="91" spans="2:8" ht="15" customHeight="1" x14ac:dyDescent="0.2">
      <c r="B91" s="763" t="s">
        <v>287</v>
      </c>
      <c r="C91" s="764">
        <f>'Section 10 data country'!$I$9</f>
        <v>127.28400000000001</v>
      </c>
      <c r="D91" s="764">
        <f>'Section 10 data country'!$O$29</f>
        <v>159.32300000000001</v>
      </c>
      <c r="E91" s="765">
        <f>'Section 10 data country'!$P$29</f>
        <v>19.53</v>
      </c>
      <c r="F91" s="764">
        <f>'Section 10 data country'!$J$9</f>
        <v>110.233</v>
      </c>
      <c r="G91" s="764">
        <f>'Section 10 data country'!$Q$29</f>
        <v>71.361000000000004</v>
      </c>
      <c r="H91" s="766">
        <f>'Section 10 data country'!$R$29</f>
        <v>22.26</v>
      </c>
    </row>
    <row r="92" spans="2:8" ht="15" customHeight="1" x14ac:dyDescent="0.2">
      <c r="B92" s="763" t="s">
        <v>288</v>
      </c>
      <c r="C92" s="764">
        <f>'Section 10 data country'!$I$10</f>
        <v>34.295999999999999</v>
      </c>
      <c r="D92" s="764">
        <f>'Section 10 data country'!$O$30</f>
        <v>83.795000000000002</v>
      </c>
      <c r="E92" s="765">
        <f>'Section 10 data country'!$P$30</f>
        <v>34.08</v>
      </c>
      <c r="F92" s="764">
        <f>'Section 10 data country'!$J$10</f>
        <v>27.609000000000002</v>
      </c>
      <c r="G92" s="764">
        <f>'Section 10 data country'!$Q$30</f>
        <v>53.311999999999998</v>
      </c>
      <c r="H92" s="766">
        <f>'Section 10 data country'!$R$30</f>
        <v>24.38</v>
      </c>
    </row>
    <row r="93" spans="2:8" ht="15" customHeight="1" x14ac:dyDescent="0.2">
      <c r="B93" s="763" t="s">
        <v>301</v>
      </c>
      <c r="C93" s="764">
        <f>'Section 10 data country'!$I$11</f>
        <v>3.9620000000000002</v>
      </c>
      <c r="D93" s="764">
        <f>'Section 10 data country'!$O$31</f>
        <v>10.875</v>
      </c>
      <c r="E93" s="765">
        <f>'Section 10 data country'!$P$31</f>
        <v>28.31</v>
      </c>
      <c r="F93" s="764">
        <f>'Section 10 data country'!$J$11</f>
        <v>5.4340000000000002</v>
      </c>
      <c r="G93" s="764">
        <f>'Section 10 data country'!$Q$31</f>
        <v>24.6</v>
      </c>
      <c r="H93" s="766">
        <f>'Section 10 data country'!$R$31</f>
        <v>42.45</v>
      </c>
    </row>
    <row r="94" spans="2:8" ht="15" customHeight="1" x14ac:dyDescent="0.2">
      <c r="B94" s="763" t="s">
        <v>302</v>
      </c>
      <c r="C94" s="764">
        <f>'Section 10 data country'!$I$12</f>
        <v>0.64400000000000002</v>
      </c>
      <c r="D94" s="764">
        <f>'Section 10 data country'!$O$32</f>
        <v>11.055</v>
      </c>
      <c r="E94" s="765">
        <f>'Section 10 data country'!$P$32</f>
        <v>23.5</v>
      </c>
      <c r="F94" s="764">
        <f>'Section 10 data country'!$J$12</f>
        <v>0.93</v>
      </c>
      <c r="G94" s="764">
        <f>'Section 10 data country'!$Q$32</f>
        <v>36.366</v>
      </c>
      <c r="H94" s="766">
        <f>'Section 10 data country'!$R$32</f>
        <v>41.85</v>
      </c>
    </row>
    <row r="95" spans="2:8" ht="15" customHeight="1" x14ac:dyDescent="0.2">
      <c r="B95" s="763" t="s">
        <v>303</v>
      </c>
      <c r="C95" s="764">
        <f>'Section 10 data country'!$I$13</f>
        <v>22.312000000000001</v>
      </c>
      <c r="D95" s="764">
        <f>'Section 10 data country'!$O$33</f>
        <v>134.774</v>
      </c>
      <c r="E95" s="765">
        <f>'Section 10 data country'!$P$33</f>
        <v>27.91</v>
      </c>
      <c r="F95" s="764">
        <f>'Section 10 data country'!$J$13</f>
        <v>41.323</v>
      </c>
      <c r="G95" s="764">
        <f>'Section 10 data country'!$Q$33</f>
        <v>63.48</v>
      </c>
      <c r="H95" s="766">
        <f>'Section 10 data country'!$R$33</f>
        <v>19.22</v>
      </c>
    </row>
    <row r="96" spans="2:8" ht="15" customHeight="1" x14ac:dyDescent="0.2">
      <c r="B96" s="763" t="s">
        <v>304</v>
      </c>
      <c r="C96" s="764">
        <f>'Section 10 data country'!$I$14</f>
        <v>24.646000000000001</v>
      </c>
      <c r="D96" s="764">
        <f>'Section 10 data country'!$O$34</f>
        <v>67.798000000000002</v>
      </c>
      <c r="E96" s="765">
        <f>'Section 10 data country'!$P$34</f>
        <v>26.98</v>
      </c>
      <c r="F96" s="764">
        <f>'Section 10 data country'!$J$14</f>
        <v>23.984000000000002</v>
      </c>
      <c r="G96" s="764">
        <f>'Section 10 data country'!$Q$34</f>
        <v>42.78</v>
      </c>
      <c r="H96" s="766">
        <f>'Section 10 data country'!$R$34</f>
        <v>30.35</v>
      </c>
    </row>
    <row r="97" spans="2:8" ht="15" customHeight="1" x14ac:dyDescent="0.2">
      <c r="B97" s="763" t="s">
        <v>291</v>
      </c>
      <c r="C97" s="764">
        <f>'Section 10 data country'!$I$15</f>
        <v>343.99200000000002</v>
      </c>
      <c r="D97" s="764">
        <f>'Section 10 data country'!$O$35</f>
        <v>259.54899999999998</v>
      </c>
      <c r="E97" s="765">
        <f>'Section 10 data country'!$P$35</f>
        <v>21.27</v>
      </c>
      <c r="F97" s="764">
        <f>'Section 10 data country'!$J$15</f>
        <v>312.86099999999999</v>
      </c>
      <c r="G97" s="764">
        <f>'Section 10 data country'!$Q$35</f>
        <v>197.40799999999999</v>
      </c>
      <c r="H97" s="766">
        <f>'Section 10 data country'!$R$35</f>
        <v>16.32</v>
      </c>
    </row>
    <row r="98" spans="2:8" ht="15" customHeight="1" x14ac:dyDescent="0.2">
      <c r="B98" s="763" t="s">
        <v>292</v>
      </c>
      <c r="C98" s="764">
        <f>'Section 10 data country'!$I$16</f>
        <v>89.826999999999998</v>
      </c>
      <c r="D98" s="764">
        <f>'Section 10 data country'!$O$36</f>
        <v>145.036</v>
      </c>
      <c r="E98" s="765">
        <f>'Section 10 data country'!$P$36</f>
        <v>17.899999999999999</v>
      </c>
      <c r="F98" s="764">
        <f>'Section 10 data country'!$J$16</f>
        <v>77.070999999999998</v>
      </c>
      <c r="G98" s="764">
        <f>'Section 10 data country'!$Q$36</f>
        <v>114.54</v>
      </c>
      <c r="H98" s="766">
        <f>'Section 10 data country'!$R$36</f>
        <v>17.809999999999999</v>
      </c>
    </row>
    <row r="99" spans="2:8" ht="15" customHeight="1" x14ac:dyDescent="0.2">
      <c r="B99" s="763" t="s">
        <v>293</v>
      </c>
      <c r="C99" s="764">
        <f>'Section 10 data country'!$I$17</f>
        <v>9.0670000000000002</v>
      </c>
      <c r="D99" s="764">
        <f>'Section 10 data country'!$O$37</f>
        <v>146.887</v>
      </c>
      <c r="E99" s="765">
        <f>'Section 10 data country'!$P$37</f>
        <v>21.18</v>
      </c>
      <c r="F99" s="764">
        <f>'Section 10 data country'!$J$17</f>
        <v>6.3719999999999999</v>
      </c>
      <c r="G99" s="764">
        <f>'Section 10 data country'!$Q$37</f>
        <v>122.51900000000001</v>
      </c>
      <c r="H99" s="766">
        <f>'Section 10 data country'!$R$37</f>
        <v>25.35</v>
      </c>
    </row>
    <row r="100" spans="2:8" ht="15" customHeight="1" x14ac:dyDescent="0.2">
      <c r="B100" s="763" t="s">
        <v>294</v>
      </c>
      <c r="C100" s="764">
        <f>'Section 10 data country'!$I$18</f>
        <v>62.692999999999998</v>
      </c>
      <c r="D100" s="764">
        <f>'Section 10 data country'!$O$38</f>
        <v>129.36000000000001</v>
      </c>
      <c r="E100" s="765">
        <f>'Section 10 data country'!$P$38</f>
        <v>21.25</v>
      </c>
      <c r="F100" s="764">
        <f>'Section 10 data country'!$J$18</f>
        <v>52.445999999999998</v>
      </c>
      <c r="G100" s="764">
        <f>'Section 10 data country'!$Q$38</f>
        <v>107.85599999999999</v>
      </c>
      <c r="H100" s="766">
        <f>'Section 10 data country'!$R$38</f>
        <v>11.47</v>
      </c>
    </row>
    <row r="101" spans="2:8" ht="15" customHeight="1" x14ac:dyDescent="0.2">
      <c r="B101" s="763" t="s">
        <v>295</v>
      </c>
      <c r="C101" s="764">
        <f>'Section 10 data country'!$I$19</f>
        <v>120.569</v>
      </c>
      <c r="D101" s="764">
        <f>'Section 10 data country'!$O$39</f>
        <v>162.16200000000001</v>
      </c>
      <c r="E101" s="765">
        <f>'Section 10 data country'!$P$39</f>
        <v>18.11</v>
      </c>
      <c r="F101" s="764">
        <f>'Section 10 data country'!$J$19</f>
        <v>117.768</v>
      </c>
      <c r="G101" s="764">
        <f>'Section 10 data country'!$Q$39</f>
        <v>200.52600000000001</v>
      </c>
      <c r="H101" s="766">
        <f>'Section 10 data country'!$R$39</f>
        <v>18.66</v>
      </c>
    </row>
    <row r="102" spans="2:8" ht="15" customHeight="1" x14ac:dyDescent="0.2">
      <c r="B102" s="767" t="s">
        <v>296</v>
      </c>
      <c r="C102" s="768">
        <f>'Section 10 data country'!$I$20</f>
        <v>80.665999999999997</v>
      </c>
      <c r="D102" s="768">
        <f>'Section 10 data country'!$O$40</f>
        <v>170.36799999999999</v>
      </c>
      <c r="E102" s="769">
        <f>'Section 10 data country'!$P$40</f>
        <v>14</v>
      </c>
      <c r="F102" s="768">
        <f>'Section 10 data country'!$J$20</f>
        <v>90.037999999999997</v>
      </c>
      <c r="G102" s="768">
        <f>'Section 10 data country'!$Q$40</f>
        <v>171.24199999999999</v>
      </c>
      <c r="H102" s="770">
        <f>'Section 10 data country'!$R$40</f>
        <v>13.4</v>
      </c>
    </row>
    <row r="105" spans="2:8" ht="15" customHeight="1" x14ac:dyDescent="0.2">
      <c r="B105" s="1109" t="s">
        <v>380</v>
      </c>
      <c r="C105" s="1089" t="s">
        <v>231</v>
      </c>
      <c r="D105" s="1089"/>
      <c r="E105" s="1089"/>
      <c r="F105" s="1089" t="s">
        <v>232</v>
      </c>
      <c r="G105" s="1089"/>
      <c r="H105" s="1018"/>
    </row>
    <row r="106" spans="2:8" ht="15" customHeight="1" x14ac:dyDescent="0.2">
      <c r="B106" s="1110"/>
      <c r="C106" s="732" t="s">
        <v>78</v>
      </c>
      <c r="D106" s="1091" t="s">
        <v>79</v>
      </c>
      <c r="E106" s="1091"/>
      <c r="F106" s="732" t="s">
        <v>78</v>
      </c>
      <c r="G106" s="1091" t="s">
        <v>79</v>
      </c>
      <c r="H106" s="1013"/>
    </row>
    <row r="107" spans="2:8" ht="30" customHeight="1" x14ac:dyDescent="0.2">
      <c r="B107" s="1110"/>
      <c r="C107" s="1090" t="s">
        <v>326</v>
      </c>
      <c r="D107" s="1090"/>
      <c r="E107" s="130" t="s">
        <v>82</v>
      </c>
      <c r="F107" s="1090" t="s">
        <v>326</v>
      </c>
      <c r="G107" s="1090"/>
      <c r="H107" s="131" t="s">
        <v>82</v>
      </c>
    </row>
    <row r="108" spans="2:8" ht="15" customHeight="1" x14ac:dyDescent="0.2">
      <c r="B108" s="759" t="str">
        <f>Index!$B$4</f>
        <v>England</v>
      </c>
      <c r="C108" s="760">
        <f>'Section 10 data country'!$K$6</f>
        <v>903.81200000000001</v>
      </c>
      <c r="D108" s="760">
        <f>'Section 10 data country'!$S$26</f>
        <v>1437.366</v>
      </c>
      <c r="E108" s="761">
        <f>'Section 10 data country'!$T$26</f>
        <v>5.6549002041536838</v>
      </c>
      <c r="F108" s="760">
        <f>'Section 10 data country'!$L$6</f>
        <v>1425.9059999999999</v>
      </c>
      <c r="G108" s="760">
        <f>'Section 10 data country'!$U$26</f>
        <v>1622.8710000000001</v>
      </c>
      <c r="H108" s="762">
        <f>'Section 10 data country'!$V$26</f>
        <v>5.9226321723649189</v>
      </c>
    </row>
    <row r="109" spans="2:8" ht="15" customHeight="1" x14ac:dyDescent="0.2">
      <c r="B109" s="763" t="s">
        <v>286</v>
      </c>
      <c r="C109" s="764">
        <f>'Section 10 data country'!$K$7</f>
        <v>108.762</v>
      </c>
      <c r="D109" s="764">
        <f>'Section 10 data country'!$S$27</f>
        <v>183.33199999999999</v>
      </c>
      <c r="E109" s="765">
        <f>'Section 10 data country'!$T$27</f>
        <v>16.809999999999999</v>
      </c>
      <c r="F109" s="764">
        <f>'Section 10 data country'!$L$7</f>
        <v>188.303</v>
      </c>
      <c r="G109" s="764">
        <f>'Section 10 data country'!$U$27</f>
        <v>200.94499999999999</v>
      </c>
      <c r="H109" s="766">
        <f>'Section 10 data country'!$V$27</f>
        <v>22.23</v>
      </c>
    </row>
    <row r="110" spans="2:8" ht="15" customHeight="1" x14ac:dyDescent="0.2">
      <c r="B110" s="763" t="s">
        <v>298</v>
      </c>
      <c r="C110" s="764">
        <f>'Section 10 data country'!$K$8</f>
        <v>84.367999999999995</v>
      </c>
      <c r="D110" s="764">
        <f>'Section 10 data country'!$S$28</f>
        <v>130.34399999999999</v>
      </c>
      <c r="E110" s="765">
        <f>'Section 10 data country'!$T$28</f>
        <v>16.260000000000002</v>
      </c>
      <c r="F110" s="764">
        <f>'Section 10 data country'!$L$8</f>
        <v>92.313000000000002</v>
      </c>
      <c r="G110" s="764">
        <f>'Section 10 data country'!$U$28</f>
        <v>204.273</v>
      </c>
      <c r="H110" s="766">
        <f>'Section 10 data country'!$V$28</f>
        <v>19.190000000000001</v>
      </c>
    </row>
    <row r="111" spans="2:8" ht="15" customHeight="1" x14ac:dyDescent="0.2">
      <c r="B111" s="763" t="s">
        <v>287</v>
      </c>
      <c r="C111" s="764">
        <f>'Section 10 data country'!$K$9</f>
        <v>82.052999999999997</v>
      </c>
      <c r="D111" s="764">
        <f>'Section 10 data country'!$S$29</f>
        <v>108.282</v>
      </c>
      <c r="E111" s="765">
        <f>'Section 10 data country'!$T$29</f>
        <v>24.3</v>
      </c>
      <c r="F111" s="764">
        <f>'Section 10 data country'!$L$9</f>
        <v>83.418999999999997</v>
      </c>
      <c r="G111" s="764">
        <f>'Section 10 data country'!$U$29</f>
        <v>89.23</v>
      </c>
      <c r="H111" s="766">
        <f>'Section 10 data country'!$V$29</f>
        <v>16.16</v>
      </c>
    </row>
    <row r="112" spans="2:8" ht="15" customHeight="1" x14ac:dyDescent="0.2">
      <c r="B112" s="763" t="s">
        <v>288</v>
      </c>
      <c r="C112" s="764">
        <f>'Section 10 data country'!$K$10</f>
        <v>43.662999999999997</v>
      </c>
      <c r="D112" s="764">
        <f>'Section 10 data country'!$S$30</f>
        <v>45.841000000000001</v>
      </c>
      <c r="E112" s="765">
        <f>'Section 10 data country'!$T$30</f>
        <v>14.85</v>
      </c>
      <c r="F112" s="764">
        <f>'Section 10 data country'!$L$10</f>
        <v>33.423000000000002</v>
      </c>
      <c r="G112" s="764">
        <f>'Section 10 data country'!$U$30</f>
        <v>78.244</v>
      </c>
      <c r="H112" s="766">
        <f>'Section 10 data country'!$V$30</f>
        <v>38.4</v>
      </c>
    </row>
    <row r="113" spans="2:8" ht="15" customHeight="1" x14ac:dyDescent="0.2">
      <c r="B113" s="763" t="s">
        <v>301</v>
      </c>
      <c r="C113" s="764">
        <f>'Section 10 data country'!$K$11</f>
        <v>2.8580000000000001</v>
      </c>
      <c r="D113" s="764">
        <f>'Section 10 data country'!$S$31</f>
        <v>13.582000000000001</v>
      </c>
      <c r="E113" s="765">
        <f>'Section 10 data country'!$T$31</f>
        <v>26.34</v>
      </c>
      <c r="F113" s="764">
        <f>'Section 10 data country'!$L$11</f>
        <v>2.714</v>
      </c>
      <c r="G113" s="764">
        <f>'Section 10 data country'!$U$31</f>
        <v>22.170999999999999</v>
      </c>
      <c r="H113" s="766">
        <f>'Section 10 data country'!$V$31</f>
        <v>29.61</v>
      </c>
    </row>
    <row r="114" spans="2:8" ht="15" customHeight="1" x14ac:dyDescent="0.2">
      <c r="B114" s="763" t="s">
        <v>302</v>
      </c>
      <c r="C114" s="764">
        <f>'Section 10 data country'!$K$12</f>
        <v>0.88200000000000001</v>
      </c>
      <c r="D114" s="764">
        <f>'Section 10 data country'!$S$32</f>
        <v>24.172000000000001</v>
      </c>
      <c r="E114" s="765">
        <f>'Section 10 data country'!$T$32</f>
        <v>29.73</v>
      </c>
      <c r="F114" s="764">
        <f>'Section 10 data country'!$L$12</f>
        <v>5.4580000000000002</v>
      </c>
      <c r="G114" s="764">
        <f>'Section 10 data country'!$U$32</f>
        <v>15.317</v>
      </c>
      <c r="H114" s="766">
        <f>'Section 10 data country'!$V$32</f>
        <v>20.91</v>
      </c>
    </row>
    <row r="115" spans="2:8" ht="15" customHeight="1" x14ac:dyDescent="0.2">
      <c r="B115" s="763" t="s">
        <v>303</v>
      </c>
      <c r="C115" s="764">
        <f>'Section 10 data country'!$K$13</f>
        <v>21.765000000000001</v>
      </c>
      <c r="D115" s="764">
        <f>'Section 10 data country'!$S$33</f>
        <v>41.133000000000003</v>
      </c>
      <c r="E115" s="765">
        <f>'Section 10 data country'!$T$33</f>
        <v>13.14</v>
      </c>
      <c r="F115" s="764">
        <f>'Section 10 data country'!$L$13</f>
        <v>57.508000000000003</v>
      </c>
      <c r="G115" s="764">
        <f>'Section 10 data country'!$U$33</f>
        <v>63.802999999999997</v>
      </c>
      <c r="H115" s="766">
        <f>'Section 10 data country'!$V$33</f>
        <v>20.57</v>
      </c>
    </row>
    <row r="116" spans="2:8" ht="15" customHeight="1" x14ac:dyDescent="0.2">
      <c r="B116" s="763" t="s">
        <v>304</v>
      </c>
      <c r="C116" s="764">
        <f>'Section 10 data country'!$K$14</f>
        <v>24.838000000000001</v>
      </c>
      <c r="D116" s="764">
        <f>'Section 10 data country'!$S$34</f>
        <v>60.563000000000002</v>
      </c>
      <c r="E116" s="765">
        <f>'Section 10 data country'!$T$34</f>
        <v>35.53</v>
      </c>
      <c r="F116" s="764">
        <f>'Section 10 data country'!$L$14</f>
        <v>27.324000000000002</v>
      </c>
      <c r="G116" s="764">
        <f>'Section 10 data country'!$U$34</f>
        <v>51.89</v>
      </c>
      <c r="H116" s="766">
        <f>'Section 10 data country'!$V$34</f>
        <v>40.020000000000003</v>
      </c>
    </row>
    <row r="117" spans="2:8" ht="15" customHeight="1" x14ac:dyDescent="0.2">
      <c r="B117" s="763" t="s">
        <v>291</v>
      </c>
      <c r="C117" s="764">
        <f>'Section 10 data country'!$K$15</f>
        <v>253.268</v>
      </c>
      <c r="D117" s="764">
        <f>'Section 10 data country'!$S$35</f>
        <v>181.24</v>
      </c>
      <c r="E117" s="765">
        <f>'Section 10 data country'!$T$35</f>
        <v>17.57</v>
      </c>
      <c r="F117" s="764">
        <f>'Section 10 data country'!$L$15</f>
        <v>446.40800000000002</v>
      </c>
      <c r="G117" s="764">
        <f>'Section 10 data country'!$U$35</f>
        <v>251.57900000000001</v>
      </c>
      <c r="H117" s="766">
        <f>'Section 10 data country'!$V$35</f>
        <v>20.8</v>
      </c>
    </row>
    <row r="118" spans="2:8" ht="15" customHeight="1" x14ac:dyDescent="0.2">
      <c r="B118" s="763" t="s">
        <v>292</v>
      </c>
      <c r="C118" s="764">
        <f>'Section 10 data country'!$K$16</f>
        <v>63.811999999999998</v>
      </c>
      <c r="D118" s="764">
        <f>'Section 10 data country'!$S$36</f>
        <v>152.94</v>
      </c>
      <c r="E118" s="765">
        <f>'Section 10 data country'!$T$36</f>
        <v>26.64</v>
      </c>
      <c r="F118" s="764">
        <f>'Section 10 data country'!$L$16</f>
        <v>95.016999999999996</v>
      </c>
      <c r="G118" s="764">
        <f>'Section 10 data country'!$U$36</f>
        <v>108.004</v>
      </c>
      <c r="H118" s="766">
        <f>'Section 10 data country'!$V$36</f>
        <v>14.32</v>
      </c>
    </row>
    <row r="119" spans="2:8" ht="15" customHeight="1" x14ac:dyDescent="0.2">
      <c r="B119" s="763" t="s">
        <v>293</v>
      </c>
      <c r="C119" s="764">
        <f>'Section 10 data country'!$K$17</f>
        <v>8.7929999999999993</v>
      </c>
      <c r="D119" s="764">
        <f>'Section 10 data country'!$S$37</f>
        <v>104.664</v>
      </c>
      <c r="E119" s="765">
        <f>'Section 10 data country'!$T$37</f>
        <v>18.86</v>
      </c>
      <c r="F119" s="764">
        <f>'Section 10 data country'!$L$17</f>
        <v>40.031999999999996</v>
      </c>
      <c r="G119" s="764">
        <f>'Section 10 data country'!$U$37</f>
        <v>92.727999999999994</v>
      </c>
      <c r="H119" s="766">
        <f>'Section 10 data country'!$V$37</f>
        <v>9.23</v>
      </c>
    </row>
    <row r="120" spans="2:8" ht="15" customHeight="1" x14ac:dyDescent="0.2">
      <c r="B120" s="763" t="s">
        <v>294</v>
      </c>
      <c r="C120" s="764">
        <f>'Section 10 data country'!$K$18</f>
        <v>43.613</v>
      </c>
      <c r="D120" s="764">
        <f>'Section 10 data country'!$S$38</f>
        <v>108.97</v>
      </c>
      <c r="E120" s="765">
        <f>'Section 10 data country'!$T$38</f>
        <v>7.94</v>
      </c>
      <c r="F120" s="764">
        <f>'Section 10 data country'!$L$18</f>
        <v>43.976999999999997</v>
      </c>
      <c r="G120" s="764">
        <f>'Section 10 data country'!$U$38</f>
        <v>136.33500000000001</v>
      </c>
      <c r="H120" s="766">
        <f>'Section 10 data country'!$V$38</f>
        <v>11.08</v>
      </c>
    </row>
    <row r="121" spans="2:8" ht="15" customHeight="1" x14ac:dyDescent="0.2">
      <c r="B121" s="763" t="s">
        <v>295</v>
      </c>
      <c r="C121" s="764">
        <f>'Section 10 data country'!$K$19</f>
        <v>98.951999999999998</v>
      </c>
      <c r="D121" s="764">
        <f>'Section 10 data country'!$S$39</f>
        <v>140.03</v>
      </c>
      <c r="E121" s="765">
        <f>'Section 10 data country'!$T$39</f>
        <v>17.54</v>
      </c>
      <c r="F121" s="764">
        <f>'Section 10 data country'!$L$19</f>
        <v>101.836</v>
      </c>
      <c r="G121" s="764">
        <f>'Section 10 data country'!$U$39</f>
        <v>150.005</v>
      </c>
      <c r="H121" s="766">
        <f>'Section 10 data country'!$V$39</f>
        <v>12.77</v>
      </c>
    </row>
    <row r="122" spans="2:8" ht="15" customHeight="1" x14ac:dyDescent="0.2">
      <c r="B122" s="767" t="s">
        <v>296</v>
      </c>
      <c r="C122" s="768">
        <f>'Section 10 data country'!$K$20</f>
        <v>66.185000000000002</v>
      </c>
      <c r="D122" s="768">
        <f>'Section 10 data country'!$S$40</f>
        <v>142.273</v>
      </c>
      <c r="E122" s="769">
        <f>'Section 10 data country'!$T$40</f>
        <v>9.18</v>
      </c>
      <c r="F122" s="768">
        <f>'Section 10 data country'!$L$20</f>
        <v>208.17400000000001</v>
      </c>
      <c r="G122" s="768">
        <f>'Section 10 data country'!$U$40</f>
        <v>158.34700000000001</v>
      </c>
      <c r="H122" s="770">
        <f>'Section 10 data country'!$V$40</f>
        <v>10.81</v>
      </c>
    </row>
    <row r="125" spans="2:8" ht="15" customHeight="1" x14ac:dyDescent="0.2">
      <c r="B125" s="1109" t="s">
        <v>380</v>
      </c>
      <c r="C125" s="1089" t="s">
        <v>233</v>
      </c>
      <c r="D125" s="1089"/>
      <c r="E125" s="1018"/>
    </row>
    <row r="126" spans="2:8" ht="15" customHeight="1" x14ac:dyDescent="0.2">
      <c r="B126" s="1110"/>
      <c r="C126" s="732" t="s">
        <v>78</v>
      </c>
      <c r="D126" s="1091" t="s">
        <v>79</v>
      </c>
      <c r="E126" s="1013"/>
    </row>
    <row r="127" spans="2:8" ht="30" customHeight="1" x14ac:dyDescent="0.2">
      <c r="B127" s="1110"/>
      <c r="C127" s="1090" t="s">
        <v>326</v>
      </c>
      <c r="D127" s="1090"/>
      <c r="E127" s="131" t="s">
        <v>82</v>
      </c>
    </row>
    <row r="128" spans="2:8" ht="15" customHeight="1" x14ac:dyDescent="0.2">
      <c r="B128" s="759" t="str">
        <f>Index!$B$4</f>
        <v>England</v>
      </c>
      <c r="C128" s="760">
        <f>'Section 10 data country'!$M$6</f>
        <v>868.93399999999997</v>
      </c>
      <c r="D128" s="760">
        <f>'Section 10 data country'!$W$26</f>
        <v>1370.6420000000001</v>
      </c>
      <c r="E128" s="762">
        <f>'Section 10 data country'!$X$26</f>
        <v>5.9733356391400863</v>
      </c>
    </row>
    <row r="129" spans="2:5" ht="15" customHeight="1" x14ac:dyDescent="0.2">
      <c r="B129" s="763" t="s">
        <v>286</v>
      </c>
      <c r="C129" s="764">
        <f>'Section 10 data country'!$M$7</f>
        <v>95.311000000000007</v>
      </c>
      <c r="D129" s="764">
        <f>'Section 10 data country'!$W$27</f>
        <v>184.821</v>
      </c>
      <c r="E129" s="766">
        <f>'Section 10 data country'!$X$27</f>
        <v>20.38</v>
      </c>
    </row>
    <row r="130" spans="2:5" ht="15" customHeight="1" x14ac:dyDescent="0.2">
      <c r="B130" s="763" t="s">
        <v>298</v>
      </c>
      <c r="C130" s="764">
        <f>'Section 10 data country'!$M$8</f>
        <v>138.72300000000001</v>
      </c>
      <c r="D130" s="764">
        <f>'Section 10 data country'!$W$28</f>
        <v>94.292000000000002</v>
      </c>
      <c r="E130" s="766">
        <f>'Section 10 data country'!$X$28</f>
        <v>6.48</v>
      </c>
    </row>
    <row r="131" spans="2:5" ht="15" customHeight="1" x14ac:dyDescent="0.2">
      <c r="B131" s="763" t="s">
        <v>287</v>
      </c>
      <c r="C131" s="764">
        <f>'Section 10 data country'!$M$9</f>
        <v>69.259</v>
      </c>
      <c r="D131" s="764">
        <f>'Section 10 data country'!$W$29</f>
        <v>86.304000000000002</v>
      </c>
      <c r="E131" s="766">
        <f>'Section 10 data country'!$X$29</f>
        <v>9.25</v>
      </c>
    </row>
    <row r="132" spans="2:5" ht="15" customHeight="1" x14ac:dyDescent="0.2">
      <c r="B132" s="763" t="s">
        <v>288</v>
      </c>
      <c r="C132" s="764">
        <f>'Section 10 data country'!$M$10</f>
        <v>31.556000000000001</v>
      </c>
      <c r="D132" s="764">
        <f>'Section 10 data country'!$W$30</f>
        <v>54.173999999999999</v>
      </c>
      <c r="E132" s="766">
        <f>'Section 10 data country'!$X$30</f>
        <v>19.100000000000001</v>
      </c>
    </row>
    <row r="133" spans="2:5" ht="15" customHeight="1" x14ac:dyDescent="0.2">
      <c r="B133" s="763" t="s">
        <v>301</v>
      </c>
      <c r="C133" s="764">
        <f>'Section 10 data country'!$M$11</f>
        <v>2.891</v>
      </c>
      <c r="D133" s="764">
        <f>'Section 10 data country'!$W$31</f>
        <v>15.65</v>
      </c>
      <c r="E133" s="766">
        <f>'Section 10 data country'!$X$31</f>
        <v>25.87</v>
      </c>
    </row>
    <row r="134" spans="2:5" ht="15" customHeight="1" x14ac:dyDescent="0.2">
      <c r="B134" s="763" t="s">
        <v>302</v>
      </c>
      <c r="C134" s="764">
        <f>'Section 10 data country'!$M$12</f>
        <v>1.105</v>
      </c>
      <c r="D134" s="764">
        <f>'Section 10 data country'!$W$32</f>
        <v>17.748999999999999</v>
      </c>
      <c r="E134" s="766">
        <f>'Section 10 data country'!$X$32</f>
        <v>18.61</v>
      </c>
    </row>
    <row r="135" spans="2:5" ht="15" customHeight="1" x14ac:dyDescent="0.2">
      <c r="B135" s="763" t="s">
        <v>303</v>
      </c>
      <c r="C135" s="764">
        <f>'Section 10 data country'!$M$13</f>
        <v>20.928000000000001</v>
      </c>
      <c r="D135" s="764">
        <f>'Section 10 data country'!$W$33</f>
        <v>58.523000000000003</v>
      </c>
      <c r="E135" s="766">
        <f>'Section 10 data country'!$X$33</f>
        <v>15.38</v>
      </c>
    </row>
    <row r="136" spans="2:5" ht="15" customHeight="1" x14ac:dyDescent="0.2">
      <c r="B136" s="763" t="s">
        <v>304</v>
      </c>
      <c r="C136" s="764">
        <f>'Section 10 data country'!$M$14</f>
        <v>24.099</v>
      </c>
      <c r="D136" s="764">
        <f>'Section 10 data country'!$W$34</f>
        <v>26.802</v>
      </c>
      <c r="E136" s="766">
        <f>'Section 10 data country'!$X$34</f>
        <v>17.53</v>
      </c>
    </row>
    <row r="137" spans="2:5" ht="15" customHeight="1" x14ac:dyDescent="0.2">
      <c r="B137" s="763" t="s">
        <v>291</v>
      </c>
      <c r="C137" s="764">
        <f>'Section 10 data country'!$M$15</f>
        <v>184.489</v>
      </c>
      <c r="D137" s="764">
        <f>'Section 10 data country'!$W$35</f>
        <v>262.19400000000002</v>
      </c>
      <c r="E137" s="766">
        <f>'Section 10 data country'!$X$35</f>
        <v>24.43</v>
      </c>
    </row>
    <row r="138" spans="2:5" ht="15" customHeight="1" x14ac:dyDescent="0.2">
      <c r="B138" s="763" t="s">
        <v>292</v>
      </c>
      <c r="C138" s="764">
        <f>'Section 10 data country'!$M$16</f>
        <v>59.436999999999998</v>
      </c>
      <c r="D138" s="764">
        <f>'Section 10 data country'!$W$36</f>
        <v>84.272000000000006</v>
      </c>
      <c r="E138" s="766">
        <f>'Section 10 data country'!$X$36</f>
        <v>8.18</v>
      </c>
    </row>
    <row r="139" spans="2:5" ht="15" customHeight="1" x14ac:dyDescent="0.2">
      <c r="B139" s="763" t="s">
        <v>293</v>
      </c>
      <c r="C139" s="764">
        <f>'Section 10 data country'!$M$17</f>
        <v>9.5969999999999995</v>
      </c>
      <c r="D139" s="764">
        <f>'Section 10 data country'!$W$37</f>
        <v>105.907</v>
      </c>
      <c r="E139" s="766">
        <f>'Section 10 data country'!$X$37</f>
        <v>15.1</v>
      </c>
    </row>
    <row r="140" spans="2:5" ht="15" customHeight="1" x14ac:dyDescent="0.2">
      <c r="B140" s="763" t="s">
        <v>294</v>
      </c>
      <c r="C140" s="764">
        <f>'Section 10 data country'!$M$18</f>
        <v>60.320999999999998</v>
      </c>
      <c r="D140" s="764">
        <f>'Section 10 data country'!$W$38</f>
        <v>106.096</v>
      </c>
      <c r="E140" s="766">
        <f>'Section 10 data country'!$X$38</f>
        <v>6.67</v>
      </c>
    </row>
    <row r="141" spans="2:5" ht="15" customHeight="1" x14ac:dyDescent="0.2">
      <c r="B141" s="763" t="s">
        <v>295</v>
      </c>
      <c r="C141" s="764">
        <f>'Section 10 data country'!$M$19</f>
        <v>95.403999999999996</v>
      </c>
      <c r="D141" s="764">
        <f>'Section 10 data country'!$W$39</f>
        <v>467.99599999999998</v>
      </c>
      <c r="E141" s="766">
        <f>'Section 10 data country'!$X$39</f>
        <v>15.18</v>
      </c>
    </row>
    <row r="142" spans="2:5" ht="15" customHeight="1" x14ac:dyDescent="0.2">
      <c r="B142" s="767" t="s">
        <v>296</v>
      </c>
      <c r="C142" s="768">
        <f>'Section 10 data country'!$M$20</f>
        <v>75.813999999999993</v>
      </c>
      <c r="D142" s="768">
        <f>'Section 10 data country'!$W$40</f>
        <v>158.708</v>
      </c>
      <c r="E142" s="770">
        <f>'Section 10 data country'!$X$40</f>
        <v>12.84</v>
      </c>
    </row>
  </sheetData>
  <mergeCells count="73">
    <mergeCell ref="AG5:AI5"/>
    <mergeCell ref="B5:B7"/>
    <mergeCell ref="C5:E5"/>
    <mergeCell ref="F5:H5"/>
    <mergeCell ref="I5:K5"/>
    <mergeCell ref="L5:N5"/>
    <mergeCell ref="O5:Q5"/>
    <mergeCell ref="D6:E6"/>
    <mergeCell ref="G6:H6"/>
    <mergeCell ref="J6:K6"/>
    <mergeCell ref="M6:N6"/>
    <mergeCell ref="R5:T5"/>
    <mergeCell ref="U5:W5"/>
    <mergeCell ref="X5:Z5"/>
    <mergeCell ref="AA5:AC5"/>
    <mergeCell ref="AD5:AF5"/>
    <mergeCell ref="AH6:AI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P6:Q6"/>
    <mergeCell ref="S6:T6"/>
    <mergeCell ref="V6:W6"/>
    <mergeCell ref="Y6:Z6"/>
    <mergeCell ref="AB6:AC6"/>
    <mergeCell ref="AE6:AF6"/>
    <mergeCell ref="AD7:AE7"/>
    <mergeCell ref="AG7:AH7"/>
    <mergeCell ref="B25:B27"/>
    <mergeCell ref="C25:E25"/>
    <mergeCell ref="F25:H25"/>
    <mergeCell ref="D26:E26"/>
    <mergeCell ref="G26:H26"/>
    <mergeCell ref="C27:D27"/>
    <mergeCell ref="F27:G27"/>
    <mergeCell ref="B45:B47"/>
    <mergeCell ref="C45:E45"/>
    <mergeCell ref="F45:H45"/>
    <mergeCell ref="D46:E46"/>
    <mergeCell ref="G46:H46"/>
    <mergeCell ref="C47:D47"/>
    <mergeCell ref="F47:G47"/>
    <mergeCell ref="B65:B67"/>
    <mergeCell ref="C65:E65"/>
    <mergeCell ref="F65:H65"/>
    <mergeCell ref="D66:E66"/>
    <mergeCell ref="G66:H66"/>
    <mergeCell ref="C67:D67"/>
    <mergeCell ref="F67:G67"/>
    <mergeCell ref="B85:B87"/>
    <mergeCell ref="C85:E85"/>
    <mergeCell ref="F85:H85"/>
    <mergeCell ref="D86:E86"/>
    <mergeCell ref="G86:H86"/>
    <mergeCell ref="C87:D87"/>
    <mergeCell ref="F87:G87"/>
    <mergeCell ref="F105:H105"/>
    <mergeCell ref="D106:E106"/>
    <mergeCell ref="G106:H106"/>
    <mergeCell ref="C107:D107"/>
    <mergeCell ref="F107:G107"/>
    <mergeCell ref="B125:B127"/>
    <mergeCell ref="C125:E125"/>
    <mergeCell ref="D126:E126"/>
    <mergeCell ref="C127:D127"/>
    <mergeCell ref="B105:B107"/>
    <mergeCell ref="C105:E10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8" operator="between" id="{6E0CD29C-C1AD-412A-B1C1-7E3520508B91}">
            <xm:f>Sheet1!$D$4</xm:f>
            <xm:f>Sheet1!$E$4</xm:f>
            <x14:dxf>
              <numFmt numFmtId="173" formatCode="&quot;&lt; 1&quot;"/>
            </x14:dxf>
          </x14:cfRule>
          <xm:sqref>A1:XFD7 A23:XFD27 A8:B22 AJ8:XFD22 A43:XFD47 A28:B42 I28:XFD42 A63:XFD67 A48:B62 I48:XFD62 A83:XFD87 A68:B82 I68:XFD82 A103:XFD107 A88:B102 I88:XFD102 A123:XFD127 A108:B122 I108:XFD122 A143:XFD1048576 A128:B142 F128:XFD142</xm:sqref>
        </x14:conditionalFormatting>
        <x14:conditionalFormatting xmlns:xm="http://schemas.microsoft.com/office/excel/2006/main">
          <x14:cfRule type="expression" priority="22" id="{E3BE2258-3870-4FC2-BF89-8E952A283B10}">
            <xm:f>IF($E28&gt;Sheet1!$F$4,1,)</xm:f>
            <x14:dxf>
              <font>
                <color rgb="FF808080"/>
              </font>
            </x14:dxf>
          </x14:cfRule>
          <xm:sqref>D28:E42</xm:sqref>
        </x14:conditionalFormatting>
        <x14:conditionalFormatting xmlns:xm="http://schemas.microsoft.com/office/excel/2006/main">
          <x14:cfRule type="expression" priority="35" id="{62211191-E16F-4965-931A-CF8E1884EE99}">
            <xm:f>IF($E8&gt;Sheet1!$F$4,1,)</xm:f>
            <x14:dxf>
              <font>
                <color rgb="FF808080"/>
              </font>
            </x14:dxf>
          </x14:cfRule>
          <xm:sqref>D8:E22</xm:sqref>
        </x14:conditionalFormatting>
        <x14:conditionalFormatting xmlns:xm="http://schemas.microsoft.com/office/excel/2006/main">
          <x14:cfRule type="expression" priority="33" id="{AFB68373-D884-4A36-9B48-5CB7F553BAD1}">
            <xm:f>IF($H8&gt;Sheet1!$F$4,1,)</xm:f>
            <x14:dxf>
              <font>
                <color rgb="FF808080"/>
              </font>
            </x14:dxf>
          </x14:cfRule>
          <x14:cfRule type="cellIs" priority="34" operator="between" id="{9F774622-F142-43A8-9F54-E9B64380560D}">
            <xm:f>Sheet1!$D$4</xm:f>
            <xm:f>Sheet1!$E$4</xm:f>
            <x14:dxf>
              <numFmt numFmtId="173" formatCode="&quot;&lt; 1&quot;"/>
            </x14:dxf>
          </x14:cfRule>
          <xm:sqref>G8:H22</xm:sqref>
        </x14:conditionalFormatting>
        <x14:conditionalFormatting xmlns:xm="http://schemas.microsoft.com/office/excel/2006/main">
          <x14:cfRule type="expression" priority="32" id="{21D3D60F-1EB9-4221-B8D9-C9507C6F8FBA}">
            <xm:f>IF($K8&gt;Sheet1!$F$4,1,)</xm:f>
            <x14:dxf>
              <font>
                <color rgb="FF808080"/>
              </font>
            </x14:dxf>
          </x14:cfRule>
          <xm:sqref>J8:K22</xm:sqref>
        </x14:conditionalFormatting>
        <x14:conditionalFormatting xmlns:xm="http://schemas.microsoft.com/office/excel/2006/main">
          <x14:cfRule type="expression" priority="31" id="{E5618D48-F164-42C7-895F-6C94A9F446CC}">
            <xm:f>IF($N8&gt;Sheet1!$F$4,1,)</xm:f>
            <x14:dxf>
              <font>
                <color rgb="FF808080"/>
              </font>
            </x14:dxf>
          </x14:cfRule>
          <xm:sqref>M8:N22</xm:sqref>
        </x14:conditionalFormatting>
        <x14:conditionalFormatting xmlns:xm="http://schemas.microsoft.com/office/excel/2006/main">
          <x14:cfRule type="expression" priority="30" id="{4B29DECF-5910-47DC-BCF1-D4A59DDF1FDD}">
            <xm:f>IF($Q8&gt;Sheet1!$F$4,1,)</xm:f>
            <x14:dxf>
              <font>
                <color rgb="FF808080"/>
              </font>
            </x14:dxf>
          </x14:cfRule>
          <xm:sqref>P8:Q22</xm:sqref>
        </x14:conditionalFormatting>
        <x14:conditionalFormatting xmlns:xm="http://schemas.microsoft.com/office/excel/2006/main">
          <x14:cfRule type="expression" priority="29" id="{69E957EF-D6A3-4F31-9821-795DDA62603C}">
            <xm:f>IF($T8&gt;Sheet1!$F$4,1,)</xm:f>
            <x14:dxf>
              <font>
                <color rgb="FF808080"/>
              </font>
            </x14:dxf>
          </x14:cfRule>
          <xm:sqref>S8:T22</xm:sqref>
        </x14:conditionalFormatting>
        <x14:conditionalFormatting xmlns:xm="http://schemas.microsoft.com/office/excel/2006/main">
          <x14:cfRule type="expression" priority="28" id="{53DF05F9-8518-45EC-84E4-553FF73D0E3E}">
            <xm:f>IF($W8&gt;Sheet1!$F$4,1,)</xm:f>
            <x14:dxf>
              <font>
                <color rgb="FF808080"/>
              </font>
            </x14:dxf>
          </x14:cfRule>
          <xm:sqref>V8:W22</xm:sqref>
        </x14:conditionalFormatting>
        <x14:conditionalFormatting xmlns:xm="http://schemas.microsoft.com/office/excel/2006/main">
          <x14:cfRule type="expression" priority="27" id="{F47B141F-DCFD-4134-8A72-4CB1E2D00D49}">
            <xm:f>IF($Z8&gt;Sheet1!$F$4,1,)</xm:f>
            <x14:dxf>
              <font>
                <color rgb="FF808080"/>
              </font>
            </x14:dxf>
          </x14:cfRule>
          <xm:sqref>Y8:Z22</xm:sqref>
        </x14:conditionalFormatting>
        <x14:conditionalFormatting xmlns:xm="http://schemas.microsoft.com/office/excel/2006/main">
          <x14:cfRule type="expression" priority="26" id="{3CE975B9-0256-4027-B5A0-B88B98331732}">
            <xm:f>IF($AC8&gt;Sheet1!$F$4,1,)</xm:f>
            <x14:dxf>
              <font>
                <color rgb="FF808080"/>
              </font>
            </x14:dxf>
          </x14:cfRule>
          <xm:sqref>AB8:AC22</xm:sqref>
        </x14:conditionalFormatting>
        <x14:conditionalFormatting xmlns:xm="http://schemas.microsoft.com/office/excel/2006/main">
          <x14:cfRule type="expression" priority="25" id="{6E5B720F-C1B2-4330-8C20-C2274A2EDE11}">
            <xm:f>IF($AF8&gt;Sheet1!$F$4,1,)</xm:f>
            <x14:dxf>
              <font>
                <color rgb="FF808080"/>
              </font>
            </x14:dxf>
          </x14:cfRule>
          <xm:sqref>AE8:AF22</xm:sqref>
        </x14:conditionalFormatting>
        <x14:conditionalFormatting xmlns:xm="http://schemas.microsoft.com/office/excel/2006/main">
          <x14:cfRule type="expression" priority="24" id="{C9CE5BC9-CE39-4F91-9C65-A9C150CC127C}">
            <xm:f>IF($AI8&gt;Sheet1!$F$4,1,)</xm:f>
            <x14:dxf>
              <font>
                <color rgb="FF808080"/>
              </font>
            </x14:dxf>
          </x14:cfRule>
          <xm:sqref>AH8:AI22</xm:sqref>
        </x14:conditionalFormatting>
        <x14:conditionalFormatting xmlns:xm="http://schemas.microsoft.com/office/excel/2006/main">
          <x14:cfRule type="cellIs" priority="23" operator="between" id="{C423057A-F2F8-4911-93DF-A72D7B4D7299}">
            <xm:f>Sheet1!$D$4</xm:f>
            <xm:f>Sheet1!$E$4</xm:f>
            <x14:dxf>
              <numFmt numFmtId="173" formatCode="&quot;&lt; 1&quot;"/>
            </x14:dxf>
          </x14:cfRule>
          <xm:sqref>C8:D22 F8:G22 I8:J22 L8:M22 O8:P22 R8:S22 U8:V22 X8:Y22 AA8:AB22 AD8:AE22 AG8:AH22</xm:sqref>
        </x14:conditionalFormatting>
        <x14:conditionalFormatting xmlns:xm="http://schemas.microsoft.com/office/excel/2006/main">
          <x14:cfRule type="expression" priority="20" id="{8F626B2C-DA68-4362-A975-B3ABF29CE1A5}">
            <xm:f>IF($H28&gt;Sheet1!$F$4,1,)</xm:f>
            <x14:dxf>
              <font>
                <color rgb="FF808080"/>
              </font>
            </x14:dxf>
          </x14:cfRule>
          <x14:cfRule type="cellIs" priority="21" operator="between" id="{A6369558-5C9D-4795-B1A6-D88EAC9CBCD1}">
            <xm:f>Sheet1!$D$4</xm:f>
            <xm:f>Sheet1!$E$4</xm:f>
            <x14:dxf>
              <numFmt numFmtId="173" formatCode="&quot;&lt; 1&quot;"/>
            </x14:dxf>
          </x14:cfRule>
          <xm:sqref>G28:H42</xm:sqref>
        </x14:conditionalFormatting>
        <x14:conditionalFormatting xmlns:xm="http://schemas.microsoft.com/office/excel/2006/main">
          <x14:cfRule type="cellIs" priority="19" operator="between" id="{F966DA18-A495-413A-8BF2-6BDA6265F47B}">
            <xm:f>Sheet1!$D$4</xm:f>
            <xm:f>Sheet1!$E$4</xm:f>
            <x14:dxf>
              <numFmt numFmtId="173" formatCode="&quot;&lt; 1&quot;"/>
            </x14:dxf>
          </x14:cfRule>
          <xm:sqref>C28:D42 F28:G42</xm:sqref>
        </x14:conditionalFormatting>
        <x14:conditionalFormatting xmlns:xm="http://schemas.microsoft.com/office/excel/2006/main">
          <x14:cfRule type="expression" priority="18" id="{FDDF791D-EE1B-4D58-BED2-0D42E604B747}">
            <xm:f>IF($E48&gt;Sheet1!$F$4,1,)</xm:f>
            <x14:dxf>
              <font>
                <color rgb="FF808080"/>
              </font>
            </x14:dxf>
          </x14:cfRule>
          <xm:sqref>D48:E62</xm:sqref>
        </x14:conditionalFormatting>
        <x14:conditionalFormatting xmlns:xm="http://schemas.microsoft.com/office/excel/2006/main">
          <x14:cfRule type="expression" priority="16" id="{1A7617DC-D4FD-4075-8354-F92DDC73E2B8}">
            <xm:f>IF($H48&gt;Sheet1!$F$4,1,)</xm:f>
            <x14:dxf>
              <font>
                <color rgb="FF808080"/>
              </font>
            </x14:dxf>
          </x14:cfRule>
          <x14:cfRule type="cellIs" priority="17" operator="between" id="{F9BFA098-F31A-4ABB-B87A-18D3A915B575}">
            <xm:f>Sheet1!$D$4</xm:f>
            <xm:f>Sheet1!$E$4</xm:f>
            <x14:dxf>
              <numFmt numFmtId="173" formatCode="&quot;&lt; 1&quot;"/>
            </x14:dxf>
          </x14:cfRule>
          <xm:sqref>G48:H62</xm:sqref>
        </x14:conditionalFormatting>
        <x14:conditionalFormatting xmlns:xm="http://schemas.microsoft.com/office/excel/2006/main">
          <x14:cfRule type="cellIs" priority="15" operator="between" id="{F9C1D49C-B1A6-43A2-89D8-149DC8C440EF}">
            <xm:f>Sheet1!$D$4</xm:f>
            <xm:f>Sheet1!$E$4</xm:f>
            <x14:dxf>
              <numFmt numFmtId="173" formatCode="&quot;&lt; 1&quot;"/>
            </x14:dxf>
          </x14:cfRule>
          <xm:sqref>C48:D62 F48:G62</xm:sqref>
        </x14:conditionalFormatting>
        <x14:conditionalFormatting xmlns:xm="http://schemas.microsoft.com/office/excel/2006/main">
          <x14:cfRule type="expression" priority="14" id="{27ACB6EF-7FDB-466E-9297-6F9C0A4E1874}">
            <xm:f>IF($E68&gt;Sheet1!$F$4,1,)</xm:f>
            <x14:dxf>
              <font>
                <color rgb="FF808080"/>
              </font>
            </x14:dxf>
          </x14:cfRule>
          <xm:sqref>D68:E82</xm:sqref>
        </x14:conditionalFormatting>
        <x14:conditionalFormatting xmlns:xm="http://schemas.microsoft.com/office/excel/2006/main">
          <x14:cfRule type="expression" priority="12" id="{851F385E-1EA4-436A-A960-26C06E4124AB}">
            <xm:f>IF($H68&gt;Sheet1!$F$4,1,)</xm:f>
            <x14:dxf>
              <font>
                <color rgb="FF808080"/>
              </font>
            </x14:dxf>
          </x14:cfRule>
          <x14:cfRule type="cellIs" priority="13" operator="between" id="{5DA307E8-F05C-48F4-8885-F95A77FDC75A}">
            <xm:f>Sheet1!$D$4</xm:f>
            <xm:f>Sheet1!$E$4</xm:f>
            <x14:dxf>
              <numFmt numFmtId="173" formatCode="&quot;&lt; 1&quot;"/>
            </x14:dxf>
          </x14:cfRule>
          <xm:sqref>G68:H82</xm:sqref>
        </x14:conditionalFormatting>
        <x14:conditionalFormatting xmlns:xm="http://schemas.microsoft.com/office/excel/2006/main">
          <x14:cfRule type="cellIs" priority="11" operator="between" id="{6E9C6012-0F2F-4CC0-AC75-D7B34E6904D0}">
            <xm:f>Sheet1!$D$4</xm:f>
            <xm:f>Sheet1!$E$4</xm:f>
            <x14:dxf>
              <numFmt numFmtId="173" formatCode="&quot;&lt; 1&quot;"/>
            </x14:dxf>
          </x14:cfRule>
          <xm:sqref>C68:D82 F68:G82</xm:sqref>
        </x14:conditionalFormatting>
        <x14:conditionalFormatting xmlns:xm="http://schemas.microsoft.com/office/excel/2006/main">
          <x14:cfRule type="expression" priority="10" id="{1A818CB8-C7C3-47DC-AF1A-0B0E987E338E}">
            <xm:f>IF($E88&gt;Sheet1!$F$4,1,)</xm:f>
            <x14:dxf>
              <font>
                <color rgb="FF808080"/>
              </font>
            </x14:dxf>
          </x14:cfRule>
          <xm:sqref>D88:E102</xm:sqref>
        </x14:conditionalFormatting>
        <x14:conditionalFormatting xmlns:xm="http://schemas.microsoft.com/office/excel/2006/main">
          <x14:cfRule type="expression" priority="8" id="{31E08CE7-0FD5-4C4E-BC26-9A1D6F6FADF5}">
            <xm:f>IF($H88&gt;Sheet1!$F$4,1,)</xm:f>
            <x14:dxf>
              <font>
                <color rgb="FF808080"/>
              </font>
            </x14:dxf>
          </x14:cfRule>
          <x14:cfRule type="cellIs" priority="9" operator="between" id="{920A651B-FE88-4EE3-A213-2CA07A449577}">
            <xm:f>Sheet1!$D$4</xm:f>
            <xm:f>Sheet1!$E$4</xm:f>
            <x14:dxf>
              <numFmt numFmtId="173" formatCode="&quot;&lt; 1&quot;"/>
            </x14:dxf>
          </x14:cfRule>
          <xm:sqref>G88:H102</xm:sqref>
        </x14:conditionalFormatting>
        <x14:conditionalFormatting xmlns:xm="http://schemas.microsoft.com/office/excel/2006/main">
          <x14:cfRule type="cellIs" priority="7" operator="between" id="{6958B351-CF6E-4366-B3FA-4FE21AAA4F46}">
            <xm:f>Sheet1!$D$4</xm:f>
            <xm:f>Sheet1!$E$4</xm:f>
            <x14:dxf>
              <numFmt numFmtId="173" formatCode="&quot;&lt; 1&quot;"/>
            </x14:dxf>
          </x14:cfRule>
          <xm:sqref>C88:D102 F88:G102</xm:sqref>
        </x14:conditionalFormatting>
        <x14:conditionalFormatting xmlns:xm="http://schemas.microsoft.com/office/excel/2006/main">
          <x14:cfRule type="expression" priority="6" id="{CEBBFF6A-E7F2-4BC8-A5E4-A71E666CCA51}">
            <xm:f>IF($E108&gt;Sheet1!$F$4,1,)</xm:f>
            <x14:dxf>
              <font>
                <color rgb="FF808080"/>
              </font>
            </x14:dxf>
          </x14:cfRule>
          <xm:sqref>D108:E122</xm:sqref>
        </x14:conditionalFormatting>
        <x14:conditionalFormatting xmlns:xm="http://schemas.microsoft.com/office/excel/2006/main">
          <x14:cfRule type="expression" priority="4" id="{189E6814-90A4-43EC-AF9B-3268E5CD24FE}">
            <xm:f>IF($H108&gt;Sheet1!$F$4,1,)</xm:f>
            <x14:dxf>
              <font>
                <color rgb="FF808080"/>
              </font>
            </x14:dxf>
          </x14:cfRule>
          <x14:cfRule type="cellIs" priority="5" operator="between" id="{9EB6712A-1B40-427F-A6D8-4F426A9CED51}">
            <xm:f>Sheet1!$D$4</xm:f>
            <xm:f>Sheet1!$E$4</xm:f>
            <x14:dxf>
              <numFmt numFmtId="173" formatCode="&quot;&lt; 1&quot;"/>
            </x14:dxf>
          </x14:cfRule>
          <xm:sqref>G108:H122</xm:sqref>
        </x14:conditionalFormatting>
        <x14:conditionalFormatting xmlns:xm="http://schemas.microsoft.com/office/excel/2006/main">
          <x14:cfRule type="cellIs" priority="3" operator="between" id="{2F918C0A-F5B1-405A-963C-08447C14E4C1}">
            <xm:f>Sheet1!$D$4</xm:f>
            <xm:f>Sheet1!$E$4</xm:f>
            <x14:dxf>
              <numFmt numFmtId="173" formatCode="&quot;&lt; 1&quot;"/>
            </x14:dxf>
          </x14:cfRule>
          <xm:sqref>C108:D122 F108:G122</xm:sqref>
        </x14:conditionalFormatting>
        <x14:conditionalFormatting xmlns:xm="http://schemas.microsoft.com/office/excel/2006/main">
          <x14:cfRule type="expression" priority="2" id="{BDEF889F-0D47-4379-AE63-F8F0C6D817F1}">
            <xm:f>IF($E128&gt;Sheet1!$F$4,1,)</xm:f>
            <x14:dxf>
              <font>
                <color rgb="FF808080"/>
              </font>
            </x14:dxf>
          </x14:cfRule>
          <xm:sqref>D128:E142</xm:sqref>
        </x14:conditionalFormatting>
        <x14:conditionalFormatting xmlns:xm="http://schemas.microsoft.com/office/excel/2006/main">
          <x14:cfRule type="cellIs" priority="1" operator="between" id="{A91D56EC-C015-4F27-8C49-B4DE6DF5EC9E}">
            <xm:f>Sheet1!$D$4</xm:f>
            <xm:f>Sheet1!$E$4</xm:f>
            <x14:dxf>
              <numFmt numFmtId="173" formatCode="&quot;&lt; 1&quot;"/>
            </x14:dxf>
          </x14:cfRule>
          <xm:sqref>C128:D142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Index!$E$113</f>
        <v>50-year hardwood forecast</v>
      </c>
    </row>
  </sheetData>
  <hyperlinks>
    <hyperlink ref="A1" location="Index!B79" display="Return to index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7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331</v>
      </c>
      <c r="C3" t="s">
        <v>877</v>
      </c>
    </row>
    <row r="5" spans="2:6" ht="15" customHeight="1" x14ac:dyDescent="0.2">
      <c r="B5" s="1125" t="s">
        <v>229</v>
      </c>
      <c r="C5" s="14" t="s">
        <v>78</v>
      </c>
      <c r="D5" s="1066" t="s">
        <v>79</v>
      </c>
      <c r="E5" s="1066"/>
      <c r="F5" s="15" t="s">
        <v>80</v>
      </c>
    </row>
    <row r="6" spans="2:6" ht="30" customHeight="1" x14ac:dyDescent="0.2">
      <c r="B6" s="1126"/>
      <c r="C6" s="37" t="s">
        <v>326</v>
      </c>
      <c r="D6" s="37" t="s">
        <v>326</v>
      </c>
      <c r="E6" s="12" t="s">
        <v>82</v>
      </c>
      <c r="F6" s="104" t="s">
        <v>326</v>
      </c>
    </row>
    <row r="7" spans="2:6" ht="15" customHeight="1" x14ac:dyDescent="0.2">
      <c r="B7" s="153" t="str">
        <f>Index!$B$4</f>
        <v>England</v>
      </c>
      <c r="C7" s="141"/>
      <c r="D7" s="141"/>
      <c r="E7" s="141"/>
      <c r="F7" s="141"/>
    </row>
    <row r="8" spans="2:6" ht="15" customHeight="1" x14ac:dyDescent="0.2">
      <c r="B8" s="146" t="s">
        <v>332</v>
      </c>
      <c r="C8" s="137">
        <v>71.779000000000011</v>
      </c>
      <c r="D8" s="138">
        <v>2611.1080000000002</v>
      </c>
      <c r="E8" s="900">
        <v>7.2121093404836918</v>
      </c>
      <c r="F8" s="139">
        <f>SUM(C8,D8)</f>
        <v>2682.8870000000002</v>
      </c>
    </row>
    <row r="9" spans="2:6" ht="15" customHeight="1" x14ac:dyDescent="0.2">
      <c r="B9" s="146" t="s">
        <v>222</v>
      </c>
      <c r="C9" s="137">
        <v>46.368000000000002</v>
      </c>
      <c r="D9" s="138">
        <v>2186.9929999999999</v>
      </c>
      <c r="E9" s="900">
        <v>6.16520388263804</v>
      </c>
      <c r="F9" s="139">
        <f t="shared" ref="F9:F18" si="0">SUM(C9,D9)</f>
        <v>2233.3609999999999</v>
      </c>
    </row>
    <row r="10" spans="2:6" ht="15" customHeight="1" x14ac:dyDescent="0.2">
      <c r="B10" s="146" t="s">
        <v>225</v>
      </c>
      <c r="C10" s="137">
        <v>78.750999999999991</v>
      </c>
      <c r="D10" s="138">
        <v>1201.29</v>
      </c>
      <c r="E10" s="900">
        <v>5.9309185660954453</v>
      </c>
      <c r="F10" s="139">
        <f t="shared" si="0"/>
        <v>1280.0409999999999</v>
      </c>
    </row>
    <row r="11" spans="2:6" ht="15" customHeight="1" x14ac:dyDescent="0.2">
      <c r="B11" s="146" t="s">
        <v>226</v>
      </c>
      <c r="C11" s="137">
        <v>74.778000000000006</v>
      </c>
      <c r="D11" s="138">
        <v>1098.886</v>
      </c>
      <c r="E11" s="900">
        <v>7.4954336758757156</v>
      </c>
      <c r="F11" s="139">
        <f t="shared" si="0"/>
        <v>1173.664</v>
      </c>
    </row>
    <row r="12" spans="2:6" ht="15" customHeight="1" x14ac:dyDescent="0.2">
      <c r="B12" s="146" t="s">
        <v>227</v>
      </c>
      <c r="C12" s="137">
        <v>89.126000000000005</v>
      </c>
      <c r="D12" s="138">
        <v>1000.0890000000001</v>
      </c>
      <c r="E12" s="900">
        <v>6.9912263023612926</v>
      </c>
      <c r="F12" s="139">
        <f t="shared" si="0"/>
        <v>1089.2150000000001</v>
      </c>
    </row>
    <row r="13" spans="2:6" ht="15" customHeight="1" x14ac:dyDescent="0.2">
      <c r="B13" s="146" t="s">
        <v>228</v>
      </c>
      <c r="C13" s="137">
        <v>139.09399999999999</v>
      </c>
      <c r="D13" s="138">
        <v>878.08500000000004</v>
      </c>
      <c r="E13" s="900">
        <v>5.5412245829283755</v>
      </c>
      <c r="F13" s="139">
        <f t="shared" si="0"/>
        <v>1017.1790000000001</v>
      </c>
    </row>
    <row r="14" spans="2:6" ht="15" customHeight="1" x14ac:dyDescent="0.2">
      <c r="B14" s="146" t="s">
        <v>333</v>
      </c>
      <c r="C14" s="137">
        <v>193.01599999999999</v>
      </c>
      <c r="D14" s="138">
        <v>1167.0630000000001</v>
      </c>
      <c r="E14" s="900">
        <v>5.482985874551817</v>
      </c>
      <c r="F14" s="139">
        <f t="shared" si="0"/>
        <v>1360.0790000000002</v>
      </c>
    </row>
    <row r="15" spans="2:6" ht="15" customHeight="1" x14ac:dyDescent="0.2">
      <c r="B15" s="146" t="s">
        <v>334</v>
      </c>
      <c r="C15" s="137">
        <v>127.23299999999998</v>
      </c>
      <c r="D15" s="138">
        <v>1167.4290000000001</v>
      </c>
      <c r="E15" s="900">
        <v>6.7523126796733335</v>
      </c>
      <c r="F15" s="139">
        <f t="shared" si="0"/>
        <v>1294.662</v>
      </c>
    </row>
    <row r="16" spans="2:6" ht="15" customHeight="1" x14ac:dyDescent="0.2">
      <c r="B16" s="146" t="s">
        <v>231</v>
      </c>
      <c r="C16" s="137">
        <v>133.34199999999998</v>
      </c>
      <c r="D16" s="138">
        <v>1254.0250000000001</v>
      </c>
      <c r="E16" s="900">
        <v>5.3710215358542355</v>
      </c>
      <c r="F16" s="139">
        <f t="shared" si="0"/>
        <v>1387.3670000000002</v>
      </c>
    </row>
    <row r="17" spans="2:6" ht="15" customHeight="1" x14ac:dyDescent="0.2">
      <c r="B17" s="146" t="s">
        <v>232</v>
      </c>
      <c r="C17" s="137">
        <v>161.45600000000002</v>
      </c>
      <c r="D17" s="138">
        <v>1199.1679999999999</v>
      </c>
      <c r="E17" s="900">
        <v>5.0614004957336416</v>
      </c>
      <c r="F17" s="139">
        <f t="shared" si="0"/>
        <v>1360.6239999999998</v>
      </c>
    </row>
    <row r="18" spans="2:6" ht="15" customHeight="1" x14ac:dyDescent="0.2">
      <c r="B18" s="147" t="s">
        <v>233</v>
      </c>
      <c r="C18" s="137">
        <v>156.49700000000001</v>
      </c>
      <c r="D18" s="138">
        <v>1288.5909999999999</v>
      </c>
      <c r="E18" s="900">
        <v>5.2217546866884801</v>
      </c>
      <c r="F18" s="140">
        <f t="shared" si="0"/>
        <v>1445.088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22BDD59-E92B-49A5-B176-430A8BAFDC23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2CB76053-0252-487F-A7B5-94EDA88F10D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330</v>
      </c>
      <c r="C3" t="s">
        <v>491</v>
      </c>
    </row>
    <row r="5" spans="2:35" ht="15" customHeight="1" x14ac:dyDescent="0.2">
      <c r="B5" s="1131" t="s">
        <v>77</v>
      </c>
      <c r="C5" s="1133" t="s">
        <v>332</v>
      </c>
      <c r="D5" s="1134"/>
      <c r="E5" s="1136"/>
      <c r="F5" s="1133" t="s">
        <v>222</v>
      </c>
      <c r="G5" s="1134"/>
      <c r="H5" s="1136"/>
      <c r="I5" s="1133" t="s">
        <v>225</v>
      </c>
      <c r="J5" s="1134"/>
      <c r="K5" s="1136"/>
      <c r="L5" s="1133" t="s">
        <v>226</v>
      </c>
      <c r="M5" s="1134"/>
      <c r="N5" s="1136"/>
      <c r="O5" s="1133" t="s">
        <v>227</v>
      </c>
      <c r="P5" s="1134"/>
      <c r="Q5" s="1136"/>
      <c r="R5" s="1133" t="s">
        <v>228</v>
      </c>
      <c r="S5" s="1134"/>
      <c r="T5" s="1136"/>
      <c r="U5" s="1133" t="s">
        <v>333</v>
      </c>
      <c r="V5" s="1134"/>
      <c r="W5" s="1136"/>
      <c r="X5" s="1133" t="s">
        <v>334</v>
      </c>
      <c r="Y5" s="1134"/>
      <c r="Z5" s="1136"/>
      <c r="AA5" s="1133" t="s">
        <v>231</v>
      </c>
      <c r="AB5" s="1134"/>
      <c r="AC5" s="1136"/>
      <c r="AD5" s="1133" t="s">
        <v>232</v>
      </c>
      <c r="AE5" s="1134"/>
      <c r="AF5" s="1136"/>
      <c r="AG5" s="1133" t="s">
        <v>233</v>
      </c>
      <c r="AH5" s="1134"/>
      <c r="AI5" s="1134"/>
    </row>
    <row r="6" spans="2:35" ht="15" customHeight="1" x14ac:dyDescent="0.2">
      <c r="B6" s="1131"/>
      <c r="C6" s="826" t="s">
        <v>78</v>
      </c>
      <c r="D6" s="1127" t="s">
        <v>79</v>
      </c>
      <c r="E6" s="1135"/>
      <c r="F6" s="826" t="s">
        <v>78</v>
      </c>
      <c r="G6" s="1127" t="s">
        <v>79</v>
      </c>
      <c r="H6" s="1135"/>
      <c r="I6" s="826" t="s">
        <v>78</v>
      </c>
      <c r="J6" s="1127" t="s">
        <v>79</v>
      </c>
      <c r="K6" s="1135"/>
      <c r="L6" s="826" t="s">
        <v>78</v>
      </c>
      <c r="M6" s="1127" t="s">
        <v>79</v>
      </c>
      <c r="N6" s="1135"/>
      <c r="O6" s="826" t="s">
        <v>78</v>
      </c>
      <c r="P6" s="1127" t="s">
        <v>79</v>
      </c>
      <c r="Q6" s="1135"/>
      <c r="R6" s="826" t="s">
        <v>78</v>
      </c>
      <c r="S6" s="1127" t="s">
        <v>79</v>
      </c>
      <c r="T6" s="1135"/>
      <c r="U6" s="826" t="s">
        <v>78</v>
      </c>
      <c r="V6" s="1127" t="s">
        <v>79</v>
      </c>
      <c r="W6" s="1135"/>
      <c r="X6" s="826" t="s">
        <v>78</v>
      </c>
      <c r="Y6" s="1127" t="s">
        <v>79</v>
      </c>
      <c r="Z6" s="1135"/>
      <c r="AA6" s="826" t="s">
        <v>78</v>
      </c>
      <c r="AB6" s="1127" t="s">
        <v>79</v>
      </c>
      <c r="AC6" s="1135"/>
      <c r="AD6" s="826" t="s">
        <v>78</v>
      </c>
      <c r="AE6" s="1127" t="s">
        <v>79</v>
      </c>
      <c r="AF6" s="1135"/>
      <c r="AG6" s="826" t="s">
        <v>78</v>
      </c>
      <c r="AH6" s="1127" t="s">
        <v>79</v>
      </c>
      <c r="AI6" s="1128"/>
    </row>
    <row r="7" spans="2:35" ht="30" customHeight="1" x14ac:dyDescent="0.2">
      <c r="B7" s="1132"/>
      <c r="C7" s="1129" t="s">
        <v>326</v>
      </c>
      <c r="D7" s="1130"/>
      <c r="E7" s="16" t="s">
        <v>82</v>
      </c>
      <c r="F7" s="1129" t="s">
        <v>326</v>
      </c>
      <c r="G7" s="1130"/>
      <c r="H7" s="16" t="s">
        <v>82</v>
      </c>
      <c r="I7" s="1129" t="s">
        <v>326</v>
      </c>
      <c r="J7" s="1130"/>
      <c r="K7" s="16" t="s">
        <v>82</v>
      </c>
      <c r="L7" s="1129" t="s">
        <v>326</v>
      </c>
      <c r="M7" s="1130"/>
      <c r="N7" s="16" t="s">
        <v>82</v>
      </c>
      <c r="O7" s="1129" t="s">
        <v>326</v>
      </c>
      <c r="P7" s="1130"/>
      <c r="Q7" s="16" t="s">
        <v>82</v>
      </c>
      <c r="R7" s="1129" t="s">
        <v>326</v>
      </c>
      <c r="S7" s="1130"/>
      <c r="T7" s="16" t="s">
        <v>82</v>
      </c>
      <c r="U7" s="1129" t="s">
        <v>326</v>
      </c>
      <c r="V7" s="1130"/>
      <c r="W7" s="16" t="s">
        <v>82</v>
      </c>
      <c r="X7" s="1129" t="s">
        <v>326</v>
      </c>
      <c r="Y7" s="1130"/>
      <c r="Z7" s="16" t="s">
        <v>82</v>
      </c>
      <c r="AA7" s="1129" t="s">
        <v>326</v>
      </c>
      <c r="AB7" s="1130"/>
      <c r="AC7" s="16" t="s">
        <v>82</v>
      </c>
      <c r="AD7" s="1129" t="s">
        <v>326</v>
      </c>
      <c r="AE7" s="1130"/>
      <c r="AF7" s="16" t="s">
        <v>82</v>
      </c>
      <c r="AG7" s="1129" t="s">
        <v>326</v>
      </c>
      <c r="AH7" s="1130"/>
      <c r="AI7" s="17" t="s">
        <v>82</v>
      </c>
    </row>
    <row r="8" spans="2:35" ht="15" customHeight="1" x14ac:dyDescent="0.2">
      <c r="B8" s="153" t="str">
        <f>Index!$B$4</f>
        <v>England</v>
      </c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</row>
    <row r="9" spans="2:35" ht="15" customHeight="1" x14ac:dyDescent="0.2">
      <c r="B9" s="2" t="s">
        <v>105</v>
      </c>
      <c r="C9" s="108">
        <v>71.779000000000011</v>
      </c>
      <c r="D9" s="108">
        <v>2611.1080000000002</v>
      </c>
      <c r="E9" s="119">
        <v>7.2121093404836918</v>
      </c>
      <c r="F9" s="108">
        <v>46.368000000000002</v>
      </c>
      <c r="G9" s="108">
        <v>2186.9929999999999</v>
      </c>
      <c r="H9" s="119">
        <v>6.16520388263804</v>
      </c>
      <c r="I9" s="108">
        <v>78.750999999999991</v>
      </c>
      <c r="J9" s="108">
        <v>1201.29</v>
      </c>
      <c r="K9" s="119">
        <v>5.9309185660954453</v>
      </c>
      <c r="L9" s="108">
        <v>74.778000000000006</v>
      </c>
      <c r="M9" s="108">
        <v>1098.886</v>
      </c>
      <c r="N9" s="119">
        <v>7.4954336758757156</v>
      </c>
      <c r="O9" s="108">
        <v>89.126000000000005</v>
      </c>
      <c r="P9" s="108">
        <v>1000.0890000000001</v>
      </c>
      <c r="Q9" s="119">
        <v>6.9912263023612926</v>
      </c>
      <c r="R9" s="108">
        <v>139.09399999999999</v>
      </c>
      <c r="S9" s="108">
        <v>878.08500000000004</v>
      </c>
      <c r="T9" s="119">
        <v>5.5412245829283755</v>
      </c>
      <c r="U9" s="108">
        <v>193.01599999999999</v>
      </c>
      <c r="V9" s="108">
        <v>1167.0630000000001</v>
      </c>
      <c r="W9" s="119">
        <v>5.482985874551817</v>
      </c>
      <c r="X9" s="108">
        <v>127.23299999999998</v>
      </c>
      <c r="Y9" s="108">
        <v>1167.4290000000001</v>
      </c>
      <c r="Z9" s="119">
        <v>6.7523126796733335</v>
      </c>
      <c r="AA9" s="108">
        <v>133.34200000000001</v>
      </c>
      <c r="AB9" s="108">
        <v>1254.0250000000001</v>
      </c>
      <c r="AC9" s="119">
        <v>5.3710215358542355</v>
      </c>
      <c r="AD9" s="108">
        <v>161.45600000000002</v>
      </c>
      <c r="AE9" s="108">
        <v>1199.1679999999999</v>
      </c>
      <c r="AF9" s="119">
        <v>5.0614004957336416</v>
      </c>
      <c r="AG9" s="108">
        <v>156.49700000000001</v>
      </c>
      <c r="AH9" s="108">
        <v>1288.5909999999999</v>
      </c>
      <c r="AI9" s="120">
        <v>5.2217546866884801</v>
      </c>
    </row>
    <row r="10" spans="2:35" ht="15" customHeight="1" x14ac:dyDescent="0.2">
      <c r="B10" s="1" t="s">
        <v>94</v>
      </c>
      <c r="C10" s="110">
        <v>20.876000000000001</v>
      </c>
      <c r="D10" s="110">
        <v>441.79500000000002</v>
      </c>
      <c r="E10" s="111">
        <v>12.872590253556668</v>
      </c>
      <c r="F10" s="110">
        <v>12.407</v>
      </c>
      <c r="G10" s="110">
        <v>514.65300000000002</v>
      </c>
      <c r="H10" s="111">
        <v>12.681266572112291</v>
      </c>
      <c r="I10" s="110">
        <v>21.911000000000001</v>
      </c>
      <c r="J10" s="110">
        <v>303.76900000000001</v>
      </c>
      <c r="K10" s="111">
        <v>12.548285493901952</v>
      </c>
      <c r="L10" s="110">
        <v>17.577000000000002</v>
      </c>
      <c r="M10" s="110">
        <v>434.964</v>
      </c>
      <c r="N10" s="111">
        <v>13.157976024934129</v>
      </c>
      <c r="O10" s="110">
        <v>21.233000000000001</v>
      </c>
      <c r="P10" s="110">
        <v>276.36599999999999</v>
      </c>
      <c r="Q10" s="111">
        <v>16.629682889584842</v>
      </c>
      <c r="R10" s="110">
        <v>27.557000000000002</v>
      </c>
      <c r="S10" s="110">
        <v>165.99199999999999</v>
      </c>
      <c r="T10" s="111">
        <v>11.955207610021255</v>
      </c>
      <c r="U10" s="110">
        <v>75.267999999999986</v>
      </c>
      <c r="V10" s="110">
        <v>210.27500000000001</v>
      </c>
      <c r="W10" s="111">
        <v>20.437927471408514</v>
      </c>
      <c r="X10" s="110">
        <v>38.143000000000001</v>
      </c>
      <c r="Y10" s="110">
        <v>255.809</v>
      </c>
      <c r="Z10" s="111">
        <v>21.342228550373978</v>
      </c>
      <c r="AA10" s="110">
        <v>41.222999999999999</v>
      </c>
      <c r="AB10" s="110">
        <v>175.74100000000001</v>
      </c>
      <c r="AC10" s="111">
        <v>11.061744277699338</v>
      </c>
      <c r="AD10" s="110">
        <v>45.08</v>
      </c>
      <c r="AE10" s="110">
        <v>181.911</v>
      </c>
      <c r="AF10" s="111">
        <v>11.788178674981614</v>
      </c>
      <c r="AG10" s="110">
        <v>54.809999999999995</v>
      </c>
      <c r="AH10" s="110">
        <v>186.59899999999999</v>
      </c>
      <c r="AI10" s="112">
        <v>13.81774268178299</v>
      </c>
    </row>
    <row r="11" spans="2:35" ht="15" customHeight="1" x14ac:dyDescent="0.2">
      <c r="B11" s="1" t="s">
        <v>95</v>
      </c>
      <c r="C11" s="110">
        <v>24.456</v>
      </c>
      <c r="D11" s="110">
        <v>229.34899999999999</v>
      </c>
      <c r="E11" s="111">
        <v>19.649073745339177</v>
      </c>
      <c r="F11" s="110">
        <v>14.593000000000002</v>
      </c>
      <c r="G11" s="110">
        <v>325.68599999999998</v>
      </c>
      <c r="H11" s="111">
        <v>23.368130346433638</v>
      </c>
      <c r="I11" s="110">
        <v>28.747</v>
      </c>
      <c r="J11" s="110">
        <v>229.25399999999999</v>
      </c>
      <c r="K11" s="111">
        <v>14.221278485668911</v>
      </c>
      <c r="L11" s="110">
        <v>30.381000000000004</v>
      </c>
      <c r="M11" s="110">
        <v>197.108</v>
      </c>
      <c r="N11" s="111">
        <v>22.104308294867156</v>
      </c>
      <c r="O11" s="110">
        <v>35.029000000000003</v>
      </c>
      <c r="P11" s="110">
        <v>232.39</v>
      </c>
      <c r="Q11" s="111">
        <v>17.767246633693521</v>
      </c>
      <c r="R11" s="110">
        <v>75.396000000000001</v>
      </c>
      <c r="S11" s="110">
        <v>165.09700000000001</v>
      </c>
      <c r="T11" s="111">
        <v>15.653309450507018</v>
      </c>
      <c r="U11" s="110">
        <v>48.073999999999998</v>
      </c>
      <c r="V11" s="110">
        <v>203.38200000000001</v>
      </c>
      <c r="W11" s="111">
        <v>16.682892113396651</v>
      </c>
      <c r="X11" s="110">
        <v>43.546000000000006</v>
      </c>
      <c r="Y11" s="110">
        <v>215.33</v>
      </c>
      <c r="Z11" s="111">
        <v>20.260785659681641</v>
      </c>
      <c r="AA11" s="110">
        <v>43.886000000000003</v>
      </c>
      <c r="AB11" s="110">
        <v>215.28100000000001</v>
      </c>
      <c r="AC11" s="111">
        <v>18.218485655824118</v>
      </c>
      <c r="AD11" s="110">
        <v>62.376999999999995</v>
      </c>
      <c r="AE11" s="110">
        <v>193.24</v>
      </c>
      <c r="AF11" s="111">
        <v>17.569347709319906</v>
      </c>
      <c r="AG11" s="110">
        <v>57.134</v>
      </c>
      <c r="AH11" s="110">
        <v>152.23599999999999</v>
      </c>
      <c r="AI11" s="112">
        <v>19.197195408748605</v>
      </c>
    </row>
    <row r="12" spans="2:35" ht="15" customHeight="1" x14ac:dyDescent="0.2">
      <c r="B12" s="1" t="s">
        <v>96</v>
      </c>
      <c r="C12" s="110">
        <v>2.0170000000000003</v>
      </c>
      <c r="D12" s="110">
        <v>619.69299999999998</v>
      </c>
      <c r="E12" s="111">
        <v>18.944622449828678</v>
      </c>
      <c r="F12" s="110">
        <v>1.7309999999999999</v>
      </c>
      <c r="G12" s="110">
        <v>390.97699999999998</v>
      </c>
      <c r="H12" s="111">
        <v>11.929932480662025</v>
      </c>
      <c r="I12" s="110">
        <v>2.1259999999999999</v>
      </c>
      <c r="J12" s="110">
        <v>161.48599999999999</v>
      </c>
      <c r="K12" s="111">
        <v>14.868243929299631</v>
      </c>
      <c r="L12" s="110">
        <v>2.7490000000000001</v>
      </c>
      <c r="M12" s="110">
        <v>75.180999999999997</v>
      </c>
      <c r="N12" s="111">
        <v>15.372563986186307</v>
      </c>
      <c r="O12" s="110">
        <v>3.2989999999999999</v>
      </c>
      <c r="P12" s="110">
        <v>77.989000000000004</v>
      </c>
      <c r="Q12" s="111">
        <v>11.19485842085861</v>
      </c>
      <c r="R12" s="110">
        <v>3.3370000000000002</v>
      </c>
      <c r="S12" s="110">
        <v>102.863</v>
      </c>
      <c r="T12" s="111">
        <v>11.583415670171396</v>
      </c>
      <c r="U12" s="110">
        <v>6.1819999999999995</v>
      </c>
      <c r="V12" s="110">
        <v>146.071</v>
      </c>
      <c r="W12" s="111">
        <v>9.5999964298948175</v>
      </c>
      <c r="X12" s="110">
        <v>4.3099999999999996</v>
      </c>
      <c r="Y12" s="110">
        <v>132.614</v>
      </c>
      <c r="Z12" s="111">
        <v>10.79564906807164</v>
      </c>
      <c r="AA12" s="110">
        <v>4.4420000000000002</v>
      </c>
      <c r="AB12" s="110">
        <v>187.47900000000001</v>
      </c>
      <c r="AC12" s="111">
        <v>13.993775566430566</v>
      </c>
      <c r="AD12" s="110">
        <v>3.4969999999999994</v>
      </c>
      <c r="AE12" s="110">
        <v>181.68100000000001</v>
      </c>
      <c r="AF12" s="111">
        <v>13.202606581726936</v>
      </c>
      <c r="AG12" s="110">
        <v>2.9590000000000001</v>
      </c>
      <c r="AH12" s="110">
        <v>205.63800000000001</v>
      </c>
      <c r="AI12" s="112">
        <v>10.746743145273969</v>
      </c>
    </row>
    <row r="13" spans="2:35" ht="15" customHeight="1" x14ac:dyDescent="0.2">
      <c r="B13" s="1" t="s">
        <v>97</v>
      </c>
      <c r="C13" s="110">
        <v>5.7119999999999997</v>
      </c>
      <c r="D13" s="110">
        <v>686.16499999999996</v>
      </c>
      <c r="E13" s="111">
        <v>13.133915346134517</v>
      </c>
      <c r="F13" s="110">
        <v>3.0200000000000005</v>
      </c>
      <c r="G13" s="110">
        <v>418.97699999999998</v>
      </c>
      <c r="H13" s="111">
        <v>8.4995621479463068</v>
      </c>
      <c r="I13" s="110">
        <v>5.4719999999999995</v>
      </c>
      <c r="J13" s="110">
        <v>150.13999999999999</v>
      </c>
      <c r="K13" s="111">
        <v>11.940375971095978</v>
      </c>
      <c r="L13" s="110">
        <v>5.1989999999999998</v>
      </c>
      <c r="M13" s="110">
        <v>80.200999999999993</v>
      </c>
      <c r="N13" s="111">
        <v>12.06747592802942</v>
      </c>
      <c r="O13" s="110">
        <v>6.8479999999999999</v>
      </c>
      <c r="P13" s="110">
        <v>102.273</v>
      </c>
      <c r="Q13" s="111">
        <v>11.675626129058678</v>
      </c>
      <c r="R13" s="110">
        <v>6.3150000000000004</v>
      </c>
      <c r="S13" s="110">
        <v>115.98</v>
      </c>
      <c r="T13" s="111">
        <v>6.6187711173528951</v>
      </c>
      <c r="U13" s="110">
        <v>23.157000000000004</v>
      </c>
      <c r="V13" s="110">
        <v>169.13900000000001</v>
      </c>
      <c r="W13" s="111">
        <v>6.0189499898202978</v>
      </c>
      <c r="X13" s="110">
        <v>9.9439999999999991</v>
      </c>
      <c r="Y13" s="110">
        <v>158.51400000000001</v>
      </c>
      <c r="Z13" s="111">
        <v>6.8599547672050152</v>
      </c>
      <c r="AA13" s="110">
        <v>8.2840000000000007</v>
      </c>
      <c r="AB13" s="110">
        <v>255.059</v>
      </c>
      <c r="AC13" s="111">
        <v>9.0981688589860195</v>
      </c>
      <c r="AD13" s="110">
        <v>8.6989999999999981</v>
      </c>
      <c r="AE13" s="110">
        <v>247.01400000000001</v>
      </c>
      <c r="AF13" s="111">
        <v>9.3808036096027845</v>
      </c>
      <c r="AG13" s="110">
        <v>6.9059999999999997</v>
      </c>
      <c r="AH13" s="110">
        <v>213.34399999999999</v>
      </c>
      <c r="AI13" s="112">
        <v>8.8255771700821946</v>
      </c>
    </row>
    <row r="14" spans="2:35" ht="15" customHeight="1" x14ac:dyDescent="0.2">
      <c r="B14" s="1" t="s">
        <v>98</v>
      </c>
      <c r="C14" s="110">
        <v>4.51</v>
      </c>
      <c r="D14" s="110">
        <v>219.40899999999999</v>
      </c>
      <c r="E14" s="111">
        <v>11.216429424041479</v>
      </c>
      <c r="F14" s="110">
        <v>4.2509999999999994</v>
      </c>
      <c r="G14" s="110">
        <v>259.346</v>
      </c>
      <c r="H14" s="111">
        <v>17.825216219387393</v>
      </c>
      <c r="I14" s="110">
        <v>4.9320000000000004</v>
      </c>
      <c r="J14" s="110">
        <v>113.62</v>
      </c>
      <c r="K14" s="111">
        <v>12.629143086742159</v>
      </c>
      <c r="L14" s="110">
        <v>4.6639999999999997</v>
      </c>
      <c r="M14" s="110">
        <v>69.924000000000007</v>
      </c>
      <c r="N14" s="111">
        <v>15.163266564262152</v>
      </c>
      <c r="O14" s="110">
        <v>6</v>
      </c>
      <c r="P14" s="110">
        <v>70.688999999999993</v>
      </c>
      <c r="Q14" s="111">
        <v>12.493554941114279</v>
      </c>
      <c r="R14" s="110">
        <v>7.8689999999999998</v>
      </c>
      <c r="S14" s="110">
        <v>74.832999999999998</v>
      </c>
      <c r="T14" s="111">
        <v>9.8586630386805734</v>
      </c>
      <c r="U14" s="110">
        <v>11.052999999999999</v>
      </c>
      <c r="V14" s="110">
        <v>126.327</v>
      </c>
      <c r="W14" s="111">
        <v>7.296012718561002</v>
      </c>
      <c r="X14" s="110">
        <v>9.3889999999999993</v>
      </c>
      <c r="Y14" s="110">
        <v>116.768</v>
      </c>
      <c r="Z14" s="111">
        <v>7.8505511245836059</v>
      </c>
      <c r="AA14" s="110">
        <v>12.567</v>
      </c>
      <c r="AB14" s="110">
        <v>110.913</v>
      </c>
      <c r="AC14" s="111">
        <v>10.221484627978807</v>
      </c>
      <c r="AD14" s="110">
        <v>19.303000000000001</v>
      </c>
      <c r="AE14" s="110">
        <v>130.25700000000001</v>
      </c>
      <c r="AF14" s="111">
        <v>11.838269960308283</v>
      </c>
      <c r="AG14" s="110">
        <v>14.669999999999998</v>
      </c>
      <c r="AH14" s="110">
        <v>203.756</v>
      </c>
      <c r="AI14" s="112">
        <v>13.38505908048421</v>
      </c>
    </row>
    <row r="15" spans="2:35" ht="15" customHeight="1" x14ac:dyDescent="0.2">
      <c r="B15" s="1" t="s">
        <v>99</v>
      </c>
      <c r="C15" s="110">
        <v>2.2759999999999998</v>
      </c>
      <c r="D15" s="110">
        <v>139.322</v>
      </c>
      <c r="E15" s="111">
        <v>37.864049764771949</v>
      </c>
      <c r="F15" s="110">
        <v>1.65</v>
      </c>
      <c r="G15" s="110">
        <v>28.826000000000001</v>
      </c>
      <c r="H15" s="111">
        <v>13.422805098724961</v>
      </c>
      <c r="I15" s="110">
        <v>2.5349999999999997</v>
      </c>
      <c r="J15" s="110">
        <v>69.174999999999997</v>
      </c>
      <c r="K15" s="111">
        <v>30.052232565587044</v>
      </c>
      <c r="L15" s="110">
        <v>2.262</v>
      </c>
      <c r="M15" s="110">
        <v>59.424999999999997</v>
      </c>
      <c r="N15" s="111">
        <v>30.958886599175294</v>
      </c>
      <c r="O15" s="110">
        <v>2.4279999999999999</v>
      </c>
      <c r="P15" s="110">
        <v>88.244</v>
      </c>
      <c r="Q15" s="111">
        <v>27.134565858979805</v>
      </c>
      <c r="R15" s="110">
        <v>2.7010000000000005</v>
      </c>
      <c r="S15" s="110">
        <v>55.728999999999999</v>
      </c>
      <c r="T15" s="111">
        <v>46.583775902183056</v>
      </c>
      <c r="U15" s="110">
        <v>3.1910000000000003</v>
      </c>
      <c r="V15" s="110">
        <v>70.313000000000002</v>
      </c>
      <c r="W15" s="111">
        <v>24.26016961200207</v>
      </c>
      <c r="X15" s="110">
        <v>2.262</v>
      </c>
      <c r="Y15" s="110">
        <v>58.427999999999997</v>
      </c>
      <c r="Z15" s="111">
        <v>41.248521894782982</v>
      </c>
      <c r="AA15" s="110">
        <v>2.7369999999999997</v>
      </c>
      <c r="AB15" s="110">
        <v>90.31</v>
      </c>
      <c r="AC15" s="111">
        <v>33.434592488401016</v>
      </c>
      <c r="AD15" s="110">
        <v>2.7710000000000004</v>
      </c>
      <c r="AE15" s="110">
        <v>60.997999999999998</v>
      </c>
      <c r="AF15" s="111">
        <v>24.461170528895142</v>
      </c>
      <c r="AG15" s="110">
        <v>2.536</v>
      </c>
      <c r="AH15" s="110">
        <v>29.335999999999999</v>
      </c>
      <c r="AI15" s="112">
        <v>26.125991809771612</v>
      </c>
    </row>
    <row r="16" spans="2:35" ht="15" customHeight="1" x14ac:dyDescent="0.2">
      <c r="B16" s="1" t="s">
        <v>100</v>
      </c>
      <c r="C16" s="110">
        <v>5.0999999999999997E-2</v>
      </c>
      <c r="D16" s="110">
        <v>21.405999999999999</v>
      </c>
      <c r="E16" s="111">
        <v>21.78241863429038</v>
      </c>
      <c r="F16" s="110">
        <v>0.104</v>
      </c>
      <c r="G16" s="110">
        <v>24.609000000000002</v>
      </c>
      <c r="H16" s="111">
        <v>19.323730742907937</v>
      </c>
      <c r="I16" s="110">
        <v>0.1</v>
      </c>
      <c r="J16" s="110">
        <v>37.515999999999998</v>
      </c>
      <c r="K16" s="111">
        <v>25.839420428955876</v>
      </c>
      <c r="L16" s="110">
        <v>0.112</v>
      </c>
      <c r="M16" s="110">
        <v>27.119</v>
      </c>
      <c r="N16" s="111">
        <v>20.269592141564488</v>
      </c>
      <c r="O16" s="110">
        <v>8.6000000000000007E-2</v>
      </c>
      <c r="P16" s="110">
        <v>29.387</v>
      </c>
      <c r="Q16" s="111">
        <v>21.829317137211554</v>
      </c>
      <c r="R16" s="110">
        <v>0.10999999999999999</v>
      </c>
      <c r="S16" s="110">
        <v>36.756</v>
      </c>
      <c r="T16" s="111">
        <v>15.817104275191639</v>
      </c>
      <c r="U16" s="110">
        <v>0.15100000000000002</v>
      </c>
      <c r="V16" s="110">
        <v>32.878999999999998</v>
      </c>
      <c r="W16" s="111">
        <v>11.885044473446467</v>
      </c>
      <c r="X16" s="110">
        <v>0.16300000000000001</v>
      </c>
      <c r="Y16" s="110">
        <v>52.981999999999999</v>
      </c>
      <c r="Z16" s="111">
        <v>10.812663945615293</v>
      </c>
      <c r="AA16" s="110">
        <v>0.13800000000000001</v>
      </c>
      <c r="AB16" s="110">
        <v>35.018999999999998</v>
      </c>
      <c r="AC16" s="111">
        <v>18.383323809279851</v>
      </c>
      <c r="AD16" s="110">
        <v>0.251</v>
      </c>
      <c r="AE16" s="110">
        <v>32.408000000000001</v>
      </c>
      <c r="AF16" s="111">
        <v>20.997896589934975</v>
      </c>
      <c r="AG16" s="110">
        <v>0.76</v>
      </c>
      <c r="AH16" s="110">
        <v>21.754000000000001</v>
      </c>
      <c r="AI16" s="112">
        <v>18.449082622393099</v>
      </c>
    </row>
    <row r="17" spans="2:35" ht="15" customHeight="1" x14ac:dyDescent="0.2">
      <c r="B17" s="1" t="s">
        <v>101</v>
      </c>
      <c r="C17" s="110">
        <v>0</v>
      </c>
      <c r="D17" s="110">
        <v>14.603999999999999</v>
      </c>
      <c r="E17" s="111">
        <v>19.421544132414855</v>
      </c>
      <c r="F17" s="110">
        <v>0</v>
      </c>
      <c r="G17" s="110">
        <v>14.919</v>
      </c>
      <c r="H17" s="111">
        <v>15.302186676592397</v>
      </c>
      <c r="I17" s="110">
        <v>0</v>
      </c>
      <c r="J17" s="110">
        <v>15.116</v>
      </c>
      <c r="K17" s="111">
        <v>14.018706665117083</v>
      </c>
      <c r="L17" s="110">
        <v>0</v>
      </c>
      <c r="M17" s="110">
        <v>14.843</v>
      </c>
      <c r="N17" s="111">
        <v>13.799408700863189</v>
      </c>
      <c r="O17" s="110">
        <v>0</v>
      </c>
      <c r="P17" s="110">
        <v>16.396999999999998</v>
      </c>
      <c r="Q17" s="111">
        <v>12.358665717783131</v>
      </c>
      <c r="R17" s="110">
        <v>0</v>
      </c>
      <c r="S17" s="110">
        <v>23.556999999999999</v>
      </c>
      <c r="T17" s="111">
        <v>21.344063358858552</v>
      </c>
      <c r="U17" s="110">
        <v>0</v>
      </c>
      <c r="V17" s="110">
        <v>20.744</v>
      </c>
      <c r="W17" s="111">
        <v>12.697786297538507</v>
      </c>
      <c r="X17" s="110">
        <v>0</v>
      </c>
      <c r="Y17" s="110">
        <v>23.631</v>
      </c>
      <c r="Z17" s="111">
        <v>14.663757177644271</v>
      </c>
      <c r="AA17" s="110">
        <v>0</v>
      </c>
      <c r="AB17" s="110">
        <v>21.303000000000001</v>
      </c>
      <c r="AC17" s="111">
        <v>12.842392219253274</v>
      </c>
      <c r="AD17" s="110">
        <v>0</v>
      </c>
      <c r="AE17" s="110">
        <v>31.282</v>
      </c>
      <c r="AF17" s="111">
        <v>20.693124181354069</v>
      </c>
      <c r="AG17" s="110">
        <v>0</v>
      </c>
      <c r="AH17" s="110">
        <v>41.531999999999996</v>
      </c>
      <c r="AI17" s="112">
        <v>22.093200518479392</v>
      </c>
    </row>
    <row r="18" spans="2:35" ht="15" customHeight="1" x14ac:dyDescent="0.2">
      <c r="B18" s="1" t="s">
        <v>102</v>
      </c>
      <c r="C18" s="110">
        <v>0.95600000000000007</v>
      </c>
      <c r="D18" s="110">
        <v>56.012999999999998</v>
      </c>
      <c r="E18" s="111">
        <v>27.425867046261516</v>
      </c>
      <c r="F18" s="110">
        <v>0.26799999999999996</v>
      </c>
      <c r="G18" s="110">
        <v>48.613999999999997</v>
      </c>
      <c r="H18" s="111">
        <v>27.647174478234589</v>
      </c>
      <c r="I18" s="110">
        <v>0.63400000000000001</v>
      </c>
      <c r="J18" s="110">
        <v>18.030999999999999</v>
      </c>
      <c r="K18" s="111">
        <v>27.330420175686797</v>
      </c>
      <c r="L18" s="110">
        <v>0.39600000000000002</v>
      </c>
      <c r="M18" s="110">
        <v>15.214</v>
      </c>
      <c r="N18" s="111">
        <v>30.429142233619032</v>
      </c>
      <c r="O18" s="110">
        <v>0.8</v>
      </c>
      <c r="P18" s="110">
        <v>10.782999999999999</v>
      </c>
      <c r="Q18" s="111">
        <v>27.623286510522462</v>
      </c>
      <c r="R18" s="110">
        <v>0.47699999999999998</v>
      </c>
      <c r="S18" s="110">
        <v>11.273999999999999</v>
      </c>
      <c r="T18" s="111">
        <v>16.914590897230738</v>
      </c>
      <c r="U18" s="110">
        <v>1.256</v>
      </c>
      <c r="V18" s="110">
        <v>22.7</v>
      </c>
      <c r="W18" s="111">
        <v>14.573257015446899</v>
      </c>
      <c r="X18" s="110">
        <v>0.66200000000000003</v>
      </c>
      <c r="Y18" s="110">
        <v>19.885000000000002</v>
      </c>
      <c r="Z18" s="111">
        <v>15.071406971955598</v>
      </c>
      <c r="AA18" s="110">
        <v>0.74399999999999999</v>
      </c>
      <c r="AB18" s="110">
        <v>16.559999999999999</v>
      </c>
      <c r="AC18" s="111">
        <v>21.455157743479141</v>
      </c>
      <c r="AD18" s="110">
        <v>0.76600000000000013</v>
      </c>
      <c r="AE18" s="110">
        <v>22.331</v>
      </c>
      <c r="AF18" s="111">
        <v>32.730732100487202</v>
      </c>
      <c r="AG18" s="110">
        <v>1.133</v>
      </c>
      <c r="AH18" s="110">
        <v>18.638999999999999</v>
      </c>
      <c r="AI18" s="112">
        <v>21.046281741485352</v>
      </c>
    </row>
    <row r="19" spans="2:35" ht="15" customHeight="1" x14ac:dyDescent="0.2">
      <c r="B19" s="1" t="s">
        <v>103</v>
      </c>
      <c r="C19" s="110">
        <v>0</v>
      </c>
      <c r="D19" s="110">
        <v>6.9889999999999999</v>
      </c>
      <c r="E19" s="111">
        <v>23.884083070469117</v>
      </c>
      <c r="F19" s="110">
        <v>0</v>
      </c>
      <c r="G19" s="110">
        <v>8.5510000000000002</v>
      </c>
      <c r="H19" s="111">
        <v>20.139212419488256</v>
      </c>
      <c r="I19" s="110">
        <v>4.0000000000000001E-3</v>
      </c>
      <c r="J19" s="110">
        <v>11.068</v>
      </c>
      <c r="K19" s="111">
        <v>16.858311757672826</v>
      </c>
      <c r="L19" s="110">
        <v>5.0000000000000001E-3</v>
      </c>
      <c r="M19" s="110">
        <v>16.472000000000001</v>
      </c>
      <c r="N19" s="111">
        <v>19.835963112490969</v>
      </c>
      <c r="O19" s="110">
        <v>4.0000000000000008E-2</v>
      </c>
      <c r="P19" s="110">
        <v>16.904</v>
      </c>
      <c r="Q19" s="111">
        <v>12.506352171631978</v>
      </c>
      <c r="R19" s="110">
        <v>1.4999999999999999E-2</v>
      </c>
      <c r="S19" s="110">
        <v>19.616</v>
      </c>
      <c r="T19" s="111">
        <v>12.040304572497972</v>
      </c>
      <c r="U19" s="110">
        <v>4.5999999999999999E-2</v>
      </c>
      <c r="V19" s="110">
        <v>24.771000000000001</v>
      </c>
      <c r="W19" s="111">
        <v>14.670925155275318</v>
      </c>
      <c r="X19" s="110">
        <v>2.1000000000000001E-2</v>
      </c>
      <c r="Y19" s="110">
        <v>17.818999999999999</v>
      </c>
      <c r="Z19" s="111">
        <v>12.092671423178256</v>
      </c>
      <c r="AA19" s="110">
        <v>3.9999999999999994E-2</v>
      </c>
      <c r="AB19" s="110">
        <v>24.2</v>
      </c>
      <c r="AC19" s="111">
        <v>14.660025877128009</v>
      </c>
      <c r="AD19" s="110">
        <v>9.0000000000000011E-3</v>
      </c>
      <c r="AE19" s="110">
        <v>25.161999999999999</v>
      </c>
      <c r="AF19" s="111">
        <v>21.375316090182118</v>
      </c>
      <c r="AG19" s="110">
        <v>4.0999999999999995E-2</v>
      </c>
      <c r="AH19" s="110">
        <v>53.561</v>
      </c>
      <c r="AI19" s="112">
        <v>31.803427922742806</v>
      </c>
    </row>
    <row r="20" spans="2:35" ht="15" customHeight="1" x14ac:dyDescent="0.2">
      <c r="B20" s="1" t="s">
        <v>104</v>
      </c>
      <c r="C20" s="114">
        <v>10.922000000000001</v>
      </c>
      <c r="D20" s="114">
        <v>173.06700000000001</v>
      </c>
      <c r="E20" s="115">
        <v>17.10482201294456</v>
      </c>
      <c r="F20" s="114">
        <v>8.343</v>
      </c>
      <c r="G20" s="114">
        <v>163.05000000000001</v>
      </c>
      <c r="H20" s="115">
        <v>15.985782326779125</v>
      </c>
      <c r="I20" s="114">
        <v>12.296999999999999</v>
      </c>
      <c r="J20" s="114">
        <v>99.972999999999999</v>
      </c>
      <c r="K20" s="115">
        <v>17.161440531399503</v>
      </c>
      <c r="L20" s="114">
        <v>11.434000000000001</v>
      </c>
      <c r="M20" s="114">
        <v>110.574</v>
      </c>
      <c r="N20" s="115">
        <v>20.520459269801588</v>
      </c>
      <c r="O20" s="114">
        <v>13.362</v>
      </c>
      <c r="P20" s="114">
        <v>84.284000000000006</v>
      </c>
      <c r="Q20" s="115">
        <v>6.9618292036881417</v>
      </c>
      <c r="R20" s="114">
        <v>15.318</v>
      </c>
      <c r="S20" s="114">
        <v>105.685</v>
      </c>
      <c r="T20" s="115">
        <v>8.3074590744847523</v>
      </c>
      <c r="U20" s="114">
        <v>24.633000000000003</v>
      </c>
      <c r="V20" s="114">
        <v>136.65199999999999</v>
      </c>
      <c r="W20" s="115">
        <v>7.647616352805211</v>
      </c>
      <c r="X20" s="114">
        <v>18.787000000000003</v>
      </c>
      <c r="Y20" s="114">
        <v>123.27800000000001</v>
      </c>
      <c r="Z20" s="115">
        <v>11.041369723468648</v>
      </c>
      <c r="AA20" s="114">
        <v>19.277000000000001</v>
      </c>
      <c r="AB20" s="114">
        <v>140.566</v>
      </c>
      <c r="AC20" s="115">
        <v>10.134478679778162</v>
      </c>
      <c r="AD20" s="114">
        <v>18.696999999999999</v>
      </c>
      <c r="AE20" s="114">
        <v>102.815</v>
      </c>
      <c r="AF20" s="115">
        <v>11.125262609265233</v>
      </c>
      <c r="AG20" s="114">
        <v>15.545999999999999</v>
      </c>
      <c r="AH20" s="114">
        <v>162.58000000000001</v>
      </c>
      <c r="AI20" s="116">
        <v>13.440494351953189</v>
      </c>
    </row>
    <row r="23" spans="2:35" ht="15" customHeight="1" x14ac:dyDescent="0.2">
      <c r="B23" s="1131" t="s">
        <v>77</v>
      </c>
      <c r="C23" s="1133" t="s">
        <v>332</v>
      </c>
      <c r="D23" s="1134"/>
      <c r="E23" s="1136"/>
      <c r="F23" s="1133" t="s">
        <v>222</v>
      </c>
      <c r="G23" s="1134"/>
      <c r="H23" s="1134"/>
    </row>
    <row r="24" spans="2:35" ht="15" customHeight="1" x14ac:dyDescent="0.2">
      <c r="B24" s="1131"/>
      <c r="C24" s="826" t="s">
        <v>78</v>
      </c>
      <c r="D24" s="1127" t="s">
        <v>79</v>
      </c>
      <c r="E24" s="1135"/>
      <c r="F24" s="826" t="s">
        <v>78</v>
      </c>
      <c r="G24" s="1127" t="s">
        <v>79</v>
      </c>
      <c r="H24" s="1128"/>
    </row>
    <row r="25" spans="2:35" ht="30" customHeight="1" x14ac:dyDescent="0.2">
      <c r="B25" s="1132"/>
      <c r="C25" s="1129" t="s">
        <v>326</v>
      </c>
      <c r="D25" s="1130"/>
      <c r="E25" s="16" t="s">
        <v>82</v>
      </c>
      <c r="F25" s="1129" t="s">
        <v>326</v>
      </c>
      <c r="G25" s="1130"/>
      <c r="H25" s="17" t="s">
        <v>82</v>
      </c>
    </row>
    <row r="26" spans="2:35" ht="15" customHeight="1" x14ac:dyDescent="0.2">
      <c r="B26" s="153" t="str">
        <f>Index!$B$4</f>
        <v>England</v>
      </c>
      <c r="C26" s="105"/>
      <c r="D26" s="105"/>
      <c r="E26" s="105"/>
      <c r="F26" s="105"/>
      <c r="G26" s="105"/>
      <c r="H26" s="105"/>
    </row>
    <row r="27" spans="2:35" ht="15" customHeight="1" x14ac:dyDescent="0.2">
      <c r="B27" s="2" t="s">
        <v>105</v>
      </c>
      <c r="C27" s="108">
        <v>71.779000000000011</v>
      </c>
      <c r="D27" s="108">
        <v>2611.1080000000002</v>
      </c>
      <c r="E27" s="119">
        <v>7.2121093404836918</v>
      </c>
      <c r="F27" s="108">
        <v>46.368000000000002</v>
      </c>
      <c r="G27" s="108">
        <v>2186.9929999999999</v>
      </c>
      <c r="H27" s="120">
        <v>6.16520388263804</v>
      </c>
    </row>
    <row r="28" spans="2:35" ht="15" customHeight="1" x14ac:dyDescent="0.2">
      <c r="B28" s="1" t="s">
        <v>94</v>
      </c>
      <c r="C28" s="110">
        <v>20.876000000000001</v>
      </c>
      <c r="D28" s="110">
        <v>441.79500000000002</v>
      </c>
      <c r="E28" s="111">
        <v>12.872590253556668</v>
      </c>
      <c r="F28" s="110">
        <v>12.407</v>
      </c>
      <c r="G28" s="110">
        <v>514.65300000000002</v>
      </c>
      <c r="H28" s="112">
        <v>12.681266572112291</v>
      </c>
    </row>
    <row r="29" spans="2:35" ht="15" customHeight="1" x14ac:dyDescent="0.2">
      <c r="B29" s="1" t="s">
        <v>95</v>
      </c>
      <c r="C29" s="110">
        <v>24.456</v>
      </c>
      <c r="D29" s="110">
        <v>229.34899999999999</v>
      </c>
      <c r="E29" s="111">
        <v>19.649073745339177</v>
      </c>
      <c r="F29" s="110">
        <v>14.593000000000002</v>
      </c>
      <c r="G29" s="110">
        <v>325.68599999999998</v>
      </c>
      <c r="H29" s="112">
        <v>23.368130346433638</v>
      </c>
    </row>
    <row r="30" spans="2:35" ht="15" customHeight="1" x14ac:dyDescent="0.2">
      <c r="B30" s="1" t="s">
        <v>96</v>
      </c>
      <c r="C30" s="110">
        <v>2.0170000000000003</v>
      </c>
      <c r="D30" s="110">
        <v>619.69299999999998</v>
      </c>
      <c r="E30" s="111">
        <v>18.944622449828678</v>
      </c>
      <c r="F30" s="110">
        <v>1.7309999999999999</v>
      </c>
      <c r="G30" s="110">
        <v>390.97699999999998</v>
      </c>
      <c r="H30" s="112">
        <v>11.929932480662025</v>
      </c>
    </row>
    <row r="31" spans="2:35" ht="15" customHeight="1" x14ac:dyDescent="0.2">
      <c r="B31" s="1" t="s">
        <v>97</v>
      </c>
      <c r="C31" s="110">
        <v>5.7119999999999997</v>
      </c>
      <c r="D31" s="110">
        <v>686.16499999999996</v>
      </c>
      <c r="E31" s="111">
        <v>13.133915346134517</v>
      </c>
      <c r="F31" s="110">
        <v>3.0200000000000005</v>
      </c>
      <c r="G31" s="110">
        <v>418.97699999999998</v>
      </c>
      <c r="H31" s="112">
        <v>8.4995621479463068</v>
      </c>
    </row>
    <row r="32" spans="2:35" ht="15" customHeight="1" x14ac:dyDescent="0.2">
      <c r="B32" s="1" t="s">
        <v>98</v>
      </c>
      <c r="C32" s="110">
        <v>4.51</v>
      </c>
      <c r="D32" s="110">
        <v>219.40899999999999</v>
      </c>
      <c r="E32" s="111">
        <v>11.216429424041479</v>
      </c>
      <c r="F32" s="110">
        <v>4.2509999999999994</v>
      </c>
      <c r="G32" s="110">
        <v>259.346</v>
      </c>
      <c r="H32" s="112">
        <v>17.825216219387393</v>
      </c>
    </row>
    <row r="33" spans="2:8" ht="15" customHeight="1" x14ac:dyDescent="0.2">
      <c r="B33" s="1" t="s">
        <v>99</v>
      </c>
      <c r="C33" s="110">
        <v>2.2759999999999998</v>
      </c>
      <c r="D33" s="110">
        <v>139.322</v>
      </c>
      <c r="E33" s="111">
        <v>37.864049764771949</v>
      </c>
      <c r="F33" s="110">
        <v>1.65</v>
      </c>
      <c r="G33" s="110">
        <v>28.826000000000001</v>
      </c>
      <c r="H33" s="112">
        <v>13.422805098724961</v>
      </c>
    </row>
    <row r="34" spans="2:8" ht="15" customHeight="1" x14ac:dyDescent="0.2">
      <c r="B34" s="1" t="s">
        <v>100</v>
      </c>
      <c r="C34" s="110">
        <v>5.0999999999999997E-2</v>
      </c>
      <c r="D34" s="110">
        <v>21.405999999999999</v>
      </c>
      <c r="E34" s="111">
        <v>21.78241863429038</v>
      </c>
      <c r="F34" s="110">
        <v>0.104</v>
      </c>
      <c r="G34" s="110">
        <v>24.609000000000002</v>
      </c>
      <c r="H34" s="112">
        <v>19.323730742907937</v>
      </c>
    </row>
    <row r="35" spans="2:8" ht="15" customHeight="1" x14ac:dyDescent="0.2">
      <c r="B35" s="1" t="s">
        <v>101</v>
      </c>
      <c r="C35" s="110">
        <v>0</v>
      </c>
      <c r="D35" s="110">
        <v>14.603999999999999</v>
      </c>
      <c r="E35" s="111">
        <v>19.421544132414855</v>
      </c>
      <c r="F35" s="110">
        <v>0</v>
      </c>
      <c r="G35" s="110">
        <v>14.919</v>
      </c>
      <c r="H35" s="112">
        <v>15.302186676592397</v>
      </c>
    </row>
    <row r="36" spans="2:8" ht="15" customHeight="1" x14ac:dyDescent="0.2">
      <c r="B36" s="1" t="s">
        <v>102</v>
      </c>
      <c r="C36" s="110">
        <v>0.95600000000000007</v>
      </c>
      <c r="D36" s="110">
        <v>56.012999999999998</v>
      </c>
      <c r="E36" s="111">
        <v>27.425867046261516</v>
      </c>
      <c r="F36" s="110">
        <v>0.26799999999999996</v>
      </c>
      <c r="G36" s="110">
        <v>48.613999999999997</v>
      </c>
      <c r="H36" s="112">
        <v>27.647174478234589</v>
      </c>
    </row>
    <row r="37" spans="2:8" ht="15" customHeight="1" x14ac:dyDescent="0.2">
      <c r="B37" s="1" t="s">
        <v>103</v>
      </c>
      <c r="C37" s="110">
        <v>0</v>
      </c>
      <c r="D37" s="110">
        <v>6.9889999999999999</v>
      </c>
      <c r="E37" s="111">
        <v>23.884083070469117</v>
      </c>
      <c r="F37" s="110">
        <v>0</v>
      </c>
      <c r="G37" s="110">
        <v>8.5510000000000002</v>
      </c>
      <c r="H37" s="112">
        <v>20.139212419488256</v>
      </c>
    </row>
    <row r="38" spans="2:8" ht="15" customHeight="1" x14ac:dyDescent="0.2">
      <c r="B38" s="1" t="s">
        <v>104</v>
      </c>
      <c r="C38" s="114">
        <v>10.922000000000001</v>
      </c>
      <c r="D38" s="114">
        <v>173.06700000000001</v>
      </c>
      <c r="E38" s="115">
        <v>17.10482201294456</v>
      </c>
      <c r="F38" s="114">
        <v>8.343</v>
      </c>
      <c r="G38" s="114">
        <v>163.05000000000001</v>
      </c>
      <c r="H38" s="116">
        <v>15.985782326779125</v>
      </c>
    </row>
    <row r="41" spans="2:8" ht="15" customHeight="1" x14ac:dyDescent="0.2">
      <c r="B41" s="1131" t="s">
        <v>77</v>
      </c>
      <c r="C41" s="1133" t="s">
        <v>225</v>
      </c>
      <c r="D41" s="1134"/>
      <c r="E41" s="1136"/>
      <c r="F41" s="1133" t="s">
        <v>226</v>
      </c>
      <c r="G41" s="1134"/>
      <c r="H41" s="1134"/>
    </row>
    <row r="42" spans="2:8" ht="15" customHeight="1" x14ac:dyDescent="0.2">
      <c r="B42" s="1131"/>
      <c r="C42" s="826" t="s">
        <v>78</v>
      </c>
      <c r="D42" s="1127" t="s">
        <v>79</v>
      </c>
      <c r="E42" s="1135"/>
      <c r="F42" s="826" t="s">
        <v>78</v>
      </c>
      <c r="G42" s="1127" t="s">
        <v>79</v>
      </c>
      <c r="H42" s="1128"/>
    </row>
    <row r="43" spans="2:8" ht="30" customHeight="1" x14ac:dyDescent="0.2">
      <c r="B43" s="1132"/>
      <c r="C43" s="1129" t="s">
        <v>326</v>
      </c>
      <c r="D43" s="1130"/>
      <c r="E43" s="16" t="s">
        <v>82</v>
      </c>
      <c r="F43" s="1129" t="s">
        <v>326</v>
      </c>
      <c r="G43" s="1130"/>
      <c r="H43" s="17" t="s">
        <v>82</v>
      </c>
    </row>
    <row r="44" spans="2:8" ht="15" customHeight="1" x14ac:dyDescent="0.2">
      <c r="B44" s="153" t="str">
        <f>Index!$B$4</f>
        <v>England</v>
      </c>
      <c r="C44" s="105"/>
      <c r="D44" s="105"/>
      <c r="E44" s="105"/>
      <c r="F44" s="105"/>
      <c r="G44" s="105"/>
      <c r="H44" s="105"/>
    </row>
    <row r="45" spans="2:8" ht="15" customHeight="1" x14ac:dyDescent="0.2">
      <c r="B45" s="2" t="s">
        <v>105</v>
      </c>
      <c r="C45" s="108">
        <v>78.750999999999991</v>
      </c>
      <c r="D45" s="108">
        <v>1201.29</v>
      </c>
      <c r="E45" s="119">
        <v>5.9309185660954453</v>
      </c>
      <c r="F45" s="108">
        <v>74.778000000000006</v>
      </c>
      <c r="G45" s="108">
        <v>1098.886</v>
      </c>
      <c r="H45" s="120">
        <v>7.4954336758757156</v>
      </c>
    </row>
    <row r="46" spans="2:8" ht="15" customHeight="1" x14ac:dyDescent="0.2">
      <c r="B46" s="1" t="s">
        <v>94</v>
      </c>
      <c r="C46" s="110">
        <v>21.911000000000001</v>
      </c>
      <c r="D46" s="110">
        <v>303.76900000000001</v>
      </c>
      <c r="E46" s="111">
        <v>12.548285493901952</v>
      </c>
      <c r="F46" s="110">
        <v>17.577000000000002</v>
      </c>
      <c r="G46" s="110">
        <v>434.964</v>
      </c>
      <c r="H46" s="112">
        <v>13.157976024934129</v>
      </c>
    </row>
    <row r="47" spans="2:8" ht="15" customHeight="1" x14ac:dyDescent="0.2">
      <c r="B47" s="1" t="s">
        <v>95</v>
      </c>
      <c r="C47" s="110">
        <v>28.747</v>
      </c>
      <c r="D47" s="110">
        <v>229.25399999999999</v>
      </c>
      <c r="E47" s="111">
        <v>14.221278485668911</v>
      </c>
      <c r="F47" s="110">
        <v>30.381000000000004</v>
      </c>
      <c r="G47" s="110">
        <v>197.108</v>
      </c>
      <c r="H47" s="112">
        <v>22.104308294867156</v>
      </c>
    </row>
    <row r="48" spans="2:8" ht="15" customHeight="1" x14ac:dyDescent="0.2">
      <c r="B48" s="1" t="s">
        <v>96</v>
      </c>
      <c r="C48" s="110">
        <v>2.1259999999999999</v>
      </c>
      <c r="D48" s="110">
        <v>161.48599999999999</v>
      </c>
      <c r="E48" s="111">
        <v>14.868243929299631</v>
      </c>
      <c r="F48" s="110">
        <v>2.7490000000000001</v>
      </c>
      <c r="G48" s="110">
        <v>75.180999999999997</v>
      </c>
      <c r="H48" s="112">
        <v>15.372563986186307</v>
      </c>
    </row>
    <row r="49" spans="2:8" ht="15" customHeight="1" x14ac:dyDescent="0.2">
      <c r="B49" s="1" t="s">
        <v>97</v>
      </c>
      <c r="C49" s="110">
        <v>5.4719999999999995</v>
      </c>
      <c r="D49" s="110">
        <v>150.13999999999999</v>
      </c>
      <c r="E49" s="111">
        <v>11.940375971095978</v>
      </c>
      <c r="F49" s="110">
        <v>5.1989999999999998</v>
      </c>
      <c r="G49" s="110">
        <v>80.200999999999993</v>
      </c>
      <c r="H49" s="112">
        <v>12.06747592802942</v>
      </c>
    </row>
    <row r="50" spans="2:8" ht="15" customHeight="1" x14ac:dyDescent="0.2">
      <c r="B50" s="1" t="s">
        <v>98</v>
      </c>
      <c r="C50" s="110">
        <v>4.9320000000000004</v>
      </c>
      <c r="D50" s="110">
        <v>113.62</v>
      </c>
      <c r="E50" s="111">
        <v>12.629143086742159</v>
      </c>
      <c r="F50" s="110">
        <v>4.6639999999999997</v>
      </c>
      <c r="G50" s="110">
        <v>69.924000000000007</v>
      </c>
      <c r="H50" s="112">
        <v>15.163266564262152</v>
      </c>
    </row>
    <row r="51" spans="2:8" ht="15" customHeight="1" x14ac:dyDescent="0.2">
      <c r="B51" s="1" t="s">
        <v>99</v>
      </c>
      <c r="C51" s="110">
        <v>2.5349999999999997</v>
      </c>
      <c r="D51" s="110">
        <v>69.174999999999997</v>
      </c>
      <c r="E51" s="111">
        <v>30.052232565587044</v>
      </c>
      <c r="F51" s="110">
        <v>2.262</v>
      </c>
      <c r="G51" s="110">
        <v>59.424999999999997</v>
      </c>
      <c r="H51" s="112">
        <v>30.958886599175294</v>
      </c>
    </row>
    <row r="52" spans="2:8" ht="15" customHeight="1" x14ac:dyDescent="0.2">
      <c r="B52" s="1" t="s">
        <v>100</v>
      </c>
      <c r="C52" s="110">
        <v>0.1</v>
      </c>
      <c r="D52" s="110">
        <v>37.515999999999998</v>
      </c>
      <c r="E52" s="111">
        <v>25.839420428955876</v>
      </c>
      <c r="F52" s="110">
        <v>0.112</v>
      </c>
      <c r="G52" s="110">
        <v>27.119</v>
      </c>
      <c r="H52" s="112">
        <v>20.269592141564488</v>
      </c>
    </row>
    <row r="53" spans="2:8" ht="15" customHeight="1" x14ac:dyDescent="0.2">
      <c r="B53" s="1" t="s">
        <v>101</v>
      </c>
      <c r="C53" s="110">
        <v>0</v>
      </c>
      <c r="D53" s="110">
        <v>15.116</v>
      </c>
      <c r="E53" s="111">
        <v>14.018706665117083</v>
      </c>
      <c r="F53" s="110">
        <v>0</v>
      </c>
      <c r="G53" s="110">
        <v>14.843</v>
      </c>
      <c r="H53" s="112">
        <v>13.799408700863189</v>
      </c>
    </row>
    <row r="54" spans="2:8" ht="15" customHeight="1" x14ac:dyDescent="0.2">
      <c r="B54" s="1" t="s">
        <v>102</v>
      </c>
      <c r="C54" s="110">
        <v>0.63400000000000001</v>
      </c>
      <c r="D54" s="110">
        <v>18.030999999999999</v>
      </c>
      <c r="E54" s="111">
        <v>27.330420175686797</v>
      </c>
      <c r="F54" s="110">
        <v>0.39600000000000002</v>
      </c>
      <c r="G54" s="110">
        <v>15.214</v>
      </c>
      <c r="H54" s="112">
        <v>30.429142233619032</v>
      </c>
    </row>
    <row r="55" spans="2:8" ht="15" customHeight="1" x14ac:dyDescent="0.2">
      <c r="B55" s="1" t="s">
        <v>103</v>
      </c>
      <c r="C55" s="110">
        <v>4.0000000000000001E-3</v>
      </c>
      <c r="D55" s="110">
        <v>11.068</v>
      </c>
      <c r="E55" s="111">
        <v>16.858311757672826</v>
      </c>
      <c r="F55" s="110">
        <v>5.0000000000000001E-3</v>
      </c>
      <c r="G55" s="110">
        <v>16.472000000000001</v>
      </c>
      <c r="H55" s="112">
        <v>19.835963112490969</v>
      </c>
    </row>
    <row r="56" spans="2:8" ht="15" customHeight="1" x14ac:dyDescent="0.2">
      <c r="B56" s="1" t="s">
        <v>104</v>
      </c>
      <c r="C56" s="114">
        <v>12.296999999999999</v>
      </c>
      <c r="D56" s="114">
        <v>99.972999999999999</v>
      </c>
      <c r="E56" s="115">
        <v>17.161440531399503</v>
      </c>
      <c r="F56" s="114">
        <v>11.434000000000001</v>
      </c>
      <c r="G56" s="114">
        <v>110.574</v>
      </c>
      <c r="H56" s="116">
        <v>20.520459269801588</v>
      </c>
    </row>
    <row r="59" spans="2:8" ht="15" customHeight="1" x14ac:dyDescent="0.2">
      <c r="B59" s="1131" t="s">
        <v>77</v>
      </c>
      <c r="C59" s="1133" t="s">
        <v>227</v>
      </c>
      <c r="D59" s="1134"/>
      <c r="E59" s="1136"/>
      <c r="F59" s="1133" t="s">
        <v>228</v>
      </c>
      <c r="G59" s="1134"/>
      <c r="H59" s="1134"/>
    </row>
    <row r="60" spans="2:8" ht="15" customHeight="1" x14ac:dyDescent="0.2">
      <c r="B60" s="1131"/>
      <c r="C60" s="826" t="s">
        <v>78</v>
      </c>
      <c r="D60" s="1127" t="s">
        <v>79</v>
      </c>
      <c r="E60" s="1135"/>
      <c r="F60" s="826" t="s">
        <v>78</v>
      </c>
      <c r="G60" s="1127" t="s">
        <v>79</v>
      </c>
      <c r="H60" s="1128"/>
    </row>
    <row r="61" spans="2:8" ht="30" customHeight="1" x14ac:dyDescent="0.2">
      <c r="B61" s="1132"/>
      <c r="C61" s="1129" t="s">
        <v>326</v>
      </c>
      <c r="D61" s="1130"/>
      <c r="E61" s="16" t="s">
        <v>82</v>
      </c>
      <c r="F61" s="1129" t="s">
        <v>326</v>
      </c>
      <c r="G61" s="1130"/>
      <c r="H61" s="17" t="s">
        <v>82</v>
      </c>
    </row>
    <row r="62" spans="2:8" ht="15" customHeight="1" x14ac:dyDescent="0.2">
      <c r="B62" s="153" t="str">
        <f>Index!$B$4</f>
        <v>England</v>
      </c>
      <c r="C62" s="105"/>
      <c r="D62" s="105"/>
      <c r="E62" s="105"/>
      <c r="F62" s="105"/>
      <c r="G62" s="105"/>
      <c r="H62" s="105"/>
    </row>
    <row r="63" spans="2:8" ht="15" customHeight="1" x14ac:dyDescent="0.2">
      <c r="B63" s="2" t="s">
        <v>105</v>
      </c>
      <c r="C63" s="108">
        <v>89.126000000000005</v>
      </c>
      <c r="D63" s="108">
        <v>1000.0890000000001</v>
      </c>
      <c r="E63" s="119">
        <v>6.9912263023612926</v>
      </c>
      <c r="F63" s="108">
        <v>139.09399999999999</v>
      </c>
      <c r="G63" s="108">
        <v>878.08500000000004</v>
      </c>
      <c r="H63" s="120">
        <v>5.5412245829283755</v>
      </c>
    </row>
    <row r="64" spans="2:8" ht="15" customHeight="1" x14ac:dyDescent="0.2">
      <c r="B64" s="1" t="s">
        <v>94</v>
      </c>
      <c r="C64" s="110">
        <v>21.233000000000001</v>
      </c>
      <c r="D64" s="110">
        <v>276.36599999999999</v>
      </c>
      <c r="E64" s="111">
        <v>16.629682889584842</v>
      </c>
      <c r="F64" s="110">
        <v>27.557000000000002</v>
      </c>
      <c r="G64" s="110">
        <v>165.99199999999999</v>
      </c>
      <c r="H64" s="112">
        <v>11.955207610021255</v>
      </c>
    </row>
    <row r="65" spans="2:8" ht="15" customHeight="1" x14ac:dyDescent="0.2">
      <c r="B65" s="1" t="s">
        <v>95</v>
      </c>
      <c r="C65" s="110">
        <v>35.029000000000003</v>
      </c>
      <c r="D65" s="110">
        <v>232.39</v>
      </c>
      <c r="E65" s="111">
        <v>17.767246633693521</v>
      </c>
      <c r="F65" s="110">
        <v>75.396000000000001</v>
      </c>
      <c r="G65" s="110">
        <v>165.09700000000001</v>
      </c>
      <c r="H65" s="112">
        <v>15.653309450507018</v>
      </c>
    </row>
    <row r="66" spans="2:8" ht="15" customHeight="1" x14ac:dyDescent="0.2">
      <c r="B66" s="1" t="s">
        <v>96</v>
      </c>
      <c r="C66" s="110">
        <v>3.2989999999999999</v>
      </c>
      <c r="D66" s="110">
        <v>77.989000000000004</v>
      </c>
      <c r="E66" s="111">
        <v>11.19485842085861</v>
      </c>
      <c r="F66" s="110">
        <v>3.3370000000000002</v>
      </c>
      <c r="G66" s="110">
        <v>102.863</v>
      </c>
      <c r="H66" s="112">
        <v>11.583415670171396</v>
      </c>
    </row>
    <row r="67" spans="2:8" ht="15" customHeight="1" x14ac:dyDescent="0.2">
      <c r="B67" s="1" t="s">
        <v>97</v>
      </c>
      <c r="C67" s="110">
        <v>6.8479999999999999</v>
      </c>
      <c r="D67" s="110">
        <v>102.273</v>
      </c>
      <c r="E67" s="111">
        <v>11.675626129058678</v>
      </c>
      <c r="F67" s="110">
        <v>6.3150000000000004</v>
      </c>
      <c r="G67" s="110">
        <v>115.98</v>
      </c>
      <c r="H67" s="112">
        <v>6.6187711173528951</v>
      </c>
    </row>
    <row r="68" spans="2:8" ht="15" customHeight="1" x14ac:dyDescent="0.2">
      <c r="B68" s="1" t="s">
        <v>98</v>
      </c>
      <c r="C68" s="110">
        <v>6</v>
      </c>
      <c r="D68" s="110">
        <v>70.688999999999993</v>
      </c>
      <c r="E68" s="111">
        <v>12.493554941114279</v>
      </c>
      <c r="F68" s="110">
        <v>7.8689999999999998</v>
      </c>
      <c r="G68" s="110">
        <v>74.832999999999998</v>
      </c>
      <c r="H68" s="112">
        <v>9.8586630386805734</v>
      </c>
    </row>
    <row r="69" spans="2:8" ht="15" customHeight="1" x14ac:dyDescent="0.2">
      <c r="B69" s="1" t="s">
        <v>99</v>
      </c>
      <c r="C69" s="110">
        <v>2.4279999999999999</v>
      </c>
      <c r="D69" s="110">
        <v>88.244</v>
      </c>
      <c r="E69" s="111">
        <v>27.134565858979805</v>
      </c>
      <c r="F69" s="110">
        <v>2.7010000000000005</v>
      </c>
      <c r="G69" s="110">
        <v>55.728999999999999</v>
      </c>
      <c r="H69" s="112">
        <v>46.583775902183056</v>
      </c>
    </row>
    <row r="70" spans="2:8" ht="15" customHeight="1" x14ac:dyDescent="0.2">
      <c r="B70" s="1" t="s">
        <v>100</v>
      </c>
      <c r="C70" s="110">
        <v>8.6000000000000007E-2</v>
      </c>
      <c r="D70" s="110">
        <v>29.387</v>
      </c>
      <c r="E70" s="111">
        <v>21.829317137211554</v>
      </c>
      <c r="F70" s="110">
        <v>0.10999999999999999</v>
      </c>
      <c r="G70" s="110">
        <v>36.756</v>
      </c>
      <c r="H70" s="112">
        <v>15.817104275191639</v>
      </c>
    </row>
    <row r="71" spans="2:8" ht="15" customHeight="1" x14ac:dyDescent="0.2">
      <c r="B71" s="1" t="s">
        <v>101</v>
      </c>
      <c r="C71" s="110">
        <v>0</v>
      </c>
      <c r="D71" s="110">
        <v>16.396999999999998</v>
      </c>
      <c r="E71" s="111">
        <v>12.358665717783131</v>
      </c>
      <c r="F71" s="110">
        <v>0</v>
      </c>
      <c r="G71" s="110">
        <v>23.556999999999999</v>
      </c>
      <c r="H71" s="112">
        <v>21.344063358858552</v>
      </c>
    </row>
    <row r="72" spans="2:8" ht="15" customHeight="1" x14ac:dyDescent="0.2">
      <c r="B72" s="1" t="s">
        <v>102</v>
      </c>
      <c r="C72" s="110">
        <v>0.8</v>
      </c>
      <c r="D72" s="110">
        <v>10.782999999999999</v>
      </c>
      <c r="E72" s="111">
        <v>27.623286510522462</v>
      </c>
      <c r="F72" s="110">
        <v>0.47699999999999998</v>
      </c>
      <c r="G72" s="110">
        <v>11.273999999999999</v>
      </c>
      <c r="H72" s="112">
        <v>16.914590897230738</v>
      </c>
    </row>
    <row r="73" spans="2:8" ht="15" customHeight="1" x14ac:dyDescent="0.2">
      <c r="B73" s="1" t="s">
        <v>103</v>
      </c>
      <c r="C73" s="110">
        <v>4.0000000000000008E-2</v>
      </c>
      <c r="D73" s="110">
        <v>16.904</v>
      </c>
      <c r="E73" s="111">
        <v>12.506352171631978</v>
      </c>
      <c r="F73" s="110">
        <v>1.4999999999999999E-2</v>
      </c>
      <c r="G73" s="110">
        <v>19.616</v>
      </c>
      <c r="H73" s="112">
        <v>12.040304572497972</v>
      </c>
    </row>
    <row r="74" spans="2:8" ht="15" customHeight="1" x14ac:dyDescent="0.2">
      <c r="B74" s="1" t="s">
        <v>104</v>
      </c>
      <c r="C74" s="114">
        <v>13.362</v>
      </c>
      <c r="D74" s="114">
        <v>84.284000000000006</v>
      </c>
      <c r="E74" s="115">
        <v>6.9618292036881417</v>
      </c>
      <c r="F74" s="114">
        <v>15.318</v>
      </c>
      <c r="G74" s="114">
        <v>105.685</v>
      </c>
      <c r="H74" s="116">
        <v>8.3074590744847523</v>
      </c>
    </row>
    <row r="77" spans="2:8" ht="15" customHeight="1" x14ac:dyDescent="0.2">
      <c r="B77" s="1131" t="s">
        <v>77</v>
      </c>
      <c r="C77" s="1133" t="s">
        <v>333</v>
      </c>
      <c r="D77" s="1134"/>
      <c r="E77" s="1136"/>
      <c r="F77" s="1133" t="s">
        <v>334</v>
      </c>
      <c r="G77" s="1134"/>
      <c r="H77" s="1134"/>
    </row>
    <row r="78" spans="2:8" ht="15" customHeight="1" x14ac:dyDescent="0.2">
      <c r="B78" s="1131"/>
      <c r="C78" s="826" t="s">
        <v>78</v>
      </c>
      <c r="D78" s="1127" t="s">
        <v>79</v>
      </c>
      <c r="E78" s="1135"/>
      <c r="F78" s="826" t="s">
        <v>78</v>
      </c>
      <c r="G78" s="1127" t="s">
        <v>79</v>
      </c>
      <c r="H78" s="1128"/>
    </row>
    <row r="79" spans="2:8" ht="30" customHeight="1" x14ac:dyDescent="0.2">
      <c r="B79" s="1132"/>
      <c r="C79" s="1129" t="s">
        <v>326</v>
      </c>
      <c r="D79" s="1130"/>
      <c r="E79" s="16" t="s">
        <v>82</v>
      </c>
      <c r="F79" s="1129" t="s">
        <v>326</v>
      </c>
      <c r="G79" s="1130"/>
      <c r="H79" s="17" t="s">
        <v>82</v>
      </c>
    </row>
    <row r="80" spans="2:8" ht="15" customHeight="1" x14ac:dyDescent="0.2">
      <c r="B80" s="153" t="str">
        <f>Index!$B$4</f>
        <v>England</v>
      </c>
      <c r="C80" s="105"/>
      <c r="D80" s="105"/>
      <c r="E80" s="105"/>
      <c r="F80" s="105"/>
      <c r="G80" s="105"/>
      <c r="H80" s="105"/>
    </row>
    <row r="81" spans="2:8" ht="15" customHeight="1" x14ac:dyDescent="0.2">
      <c r="B81" s="2" t="s">
        <v>105</v>
      </c>
      <c r="C81" s="108">
        <v>193.01599999999999</v>
      </c>
      <c r="D81" s="108">
        <v>1167.0630000000001</v>
      </c>
      <c r="E81" s="119">
        <v>5.482985874551817</v>
      </c>
      <c r="F81" s="108">
        <v>127.23299999999998</v>
      </c>
      <c r="G81" s="108">
        <v>1167.4290000000001</v>
      </c>
      <c r="H81" s="120">
        <v>6.7523126796733335</v>
      </c>
    </row>
    <row r="82" spans="2:8" ht="15" customHeight="1" x14ac:dyDescent="0.2">
      <c r="B82" s="1" t="s">
        <v>94</v>
      </c>
      <c r="C82" s="110">
        <v>75.267999999999986</v>
      </c>
      <c r="D82" s="110">
        <v>210.27500000000001</v>
      </c>
      <c r="E82" s="111">
        <v>20.437927471408514</v>
      </c>
      <c r="F82" s="110">
        <v>38.143000000000001</v>
      </c>
      <c r="G82" s="110">
        <v>255.809</v>
      </c>
      <c r="H82" s="112">
        <v>21.342228550373978</v>
      </c>
    </row>
    <row r="83" spans="2:8" ht="15" customHeight="1" x14ac:dyDescent="0.2">
      <c r="B83" s="1" t="s">
        <v>95</v>
      </c>
      <c r="C83" s="110">
        <v>48.073999999999998</v>
      </c>
      <c r="D83" s="110">
        <v>203.38200000000001</v>
      </c>
      <c r="E83" s="111">
        <v>16.682892113396651</v>
      </c>
      <c r="F83" s="110">
        <v>43.546000000000006</v>
      </c>
      <c r="G83" s="110">
        <v>215.33</v>
      </c>
      <c r="H83" s="112">
        <v>20.260785659681641</v>
      </c>
    </row>
    <row r="84" spans="2:8" ht="15" customHeight="1" x14ac:dyDescent="0.2">
      <c r="B84" s="1" t="s">
        <v>96</v>
      </c>
      <c r="C84" s="110">
        <v>6.1819999999999995</v>
      </c>
      <c r="D84" s="110">
        <v>146.071</v>
      </c>
      <c r="E84" s="111">
        <v>9.5999964298948175</v>
      </c>
      <c r="F84" s="110">
        <v>4.3099999999999996</v>
      </c>
      <c r="G84" s="110">
        <v>132.614</v>
      </c>
      <c r="H84" s="112">
        <v>10.79564906807164</v>
      </c>
    </row>
    <row r="85" spans="2:8" ht="15" customHeight="1" x14ac:dyDescent="0.2">
      <c r="B85" s="1" t="s">
        <v>97</v>
      </c>
      <c r="C85" s="110">
        <v>23.157000000000004</v>
      </c>
      <c r="D85" s="110">
        <v>169.13900000000001</v>
      </c>
      <c r="E85" s="111">
        <v>6.0189499898202978</v>
      </c>
      <c r="F85" s="110">
        <v>9.9439999999999991</v>
      </c>
      <c r="G85" s="110">
        <v>158.51400000000001</v>
      </c>
      <c r="H85" s="112">
        <v>6.8599547672050152</v>
      </c>
    </row>
    <row r="86" spans="2:8" ht="15" customHeight="1" x14ac:dyDescent="0.2">
      <c r="B86" s="1" t="s">
        <v>98</v>
      </c>
      <c r="C86" s="110">
        <v>11.052999999999999</v>
      </c>
      <c r="D86" s="110">
        <v>126.327</v>
      </c>
      <c r="E86" s="111">
        <v>7.296012718561002</v>
      </c>
      <c r="F86" s="110">
        <v>9.3889999999999993</v>
      </c>
      <c r="G86" s="110">
        <v>116.768</v>
      </c>
      <c r="H86" s="112">
        <v>7.8505511245836059</v>
      </c>
    </row>
    <row r="87" spans="2:8" ht="15" customHeight="1" x14ac:dyDescent="0.2">
      <c r="B87" s="1" t="s">
        <v>99</v>
      </c>
      <c r="C87" s="110">
        <v>3.1910000000000003</v>
      </c>
      <c r="D87" s="110">
        <v>70.313000000000002</v>
      </c>
      <c r="E87" s="111">
        <v>24.26016961200207</v>
      </c>
      <c r="F87" s="110">
        <v>2.262</v>
      </c>
      <c r="G87" s="110">
        <v>58.427999999999997</v>
      </c>
      <c r="H87" s="112">
        <v>41.248521894782982</v>
      </c>
    </row>
    <row r="88" spans="2:8" ht="15" customHeight="1" x14ac:dyDescent="0.2">
      <c r="B88" s="1" t="s">
        <v>100</v>
      </c>
      <c r="C88" s="110">
        <v>0.15100000000000002</v>
      </c>
      <c r="D88" s="110">
        <v>32.878999999999998</v>
      </c>
      <c r="E88" s="111">
        <v>11.885044473446467</v>
      </c>
      <c r="F88" s="110">
        <v>0.16300000000000001</v>
      </c>
      <c r="G88" s="110">
        <v>52.981999999999999</v>
      </c>
      <c r="H88" s="112">
        <v>10.812663945615293</v>
      </c>
    </row>
    <row r="89" spans="2:8" ht="15" customHeight="1" x14ac:dyDescent="0.2">
      <c r="B89" s="1" t="s">
        <v>101</v>
      </c>
      <c r="C89" s="110">
        <v>0</v>
      </c>
      <c r="D89" s="110">
        <v>20.744</v>
      </c>
      <c r="E89" s="111">
        <v>12.697786297538507</v>
      </c>
      <c r="F89" s="110">
        <v>0</v>
      </c>
      <c r="G89" s="110">
        <v>23.631</v>
      </c>
      <c r="H89" s="112">
        <v>14.663757177644271</v>
      </c>
    </row>
    <row r="90" spans="2:8" ht="15" customHeight="1" x14ac:dyDescent="0.2">
      <c r="B90" s="1" t="s">
        <v>102</v>
      </c>
      <c r="C90" s="110">
        <v>1.256</v>
      </c>
      <c r="D90" s="110">
        <v>22.7</v>
      </c>
      <c r="E90" s="111">
        <v>14.573257015446899</v>
      </c>
      <c r="F90" s="110">
        <v>0.66200000000000003</v>
      </c>
      <c r="G90" s="110">
        <v>19.885000000000002</v>
      </c>
      <c r="H90" s="112">
        <v>15.071406971955598</v>
      </c>
    </row>
    <row r="91" spans="2:8" ht="15" customHeight="1" x14ac:dyDescent="0.2">
      <c r="B91" s="1" t="s">
        <v>103</v>
      </c>
      <c r="C91" s="110">
        <v>4.5999999999999999E-2</v>
      </c>
      <c r="D91" s="110">
        <v>24.771000000000001</v>
      </c>
      <c r="E91" s="111">
        <v>14.670925155275318</v>
      </c>
      <c r="F91" s="110">
        <v>2.1000000000000001E-2</v>
      </c>
      <c r="G91" s="110">
        <v>17.818999999999999</v>
      </c>
      <c r="H91" s="112">
        <v>12.092671423178256</v>
      </c>
    </row>
    <row r="92" spans="2:8" ht="15" customHeight="1" x14ac:dyDescent="0.2">
      <c r="B92" s="1" t="s">
        <v>104</v>
      </c>
      <c r="C92" s="114">
        <v>24.633000000000003</v>
      </c>
      <c r="D92" s="114">
        <v>136.65199999999999</v>
      </c>
      <c r="E92" s="115">
        <v>7.647616352805211</v>
      </c>
      <c r="F92" s="114">
        <v>18.787000000000003</v>
      </c>
      <c r="G92" s="114">
        <v>123.27800000000001</v>
      </c>
      <c r="H92" s="116">
        <v>11.041369723468648</v>
      </c>
    </row>
    <row r="95" spans="2:8" ht="15" customHeight="1" x14ac:dyDescent="0.2">
      <c r="B95" s="1131" t="s">
        <v>77</v>
      </c>
      <c r="C95" s="1133" t="s">
        <v>231</v>
      </c>
      <c r="D95" s="1134"/>
      <c r="E95" s="1136"/>
      <c r="F95" s="1133" t="s">
        <v>232</v>
      </c>
      <c r="G95" s="1134"/>
      <c r="H95" s="1134"/>
    </row>
    <row r="96" spans="2:8" ht="15" customHeight="1" x14ac:dyDescent="0.2">
      <c r="B96" s="1131"/>
      <c r="C96" s="826" t="s">
        <v>78</v>
      </c>
      <c r="D96" s="1127" t="s">
        <v>79</v>
      </c>
      <c r="E96" s="1135"/>
      <c r="F96" s="826" t="s">
        <v>78</v>
      </c>
      <c r="G96" s="1127" t="s">
        <v>79</v>
      </c>
      <c r="H96" s="1128"/>
    </row>
    <row r="97" spans="2:8" ht="30" customHeight="1" x14ac:dyDescent="0.2">
      <c r="B97" s="1132"/>
      <c r="C97" s="1129" t="s">
        <v>326</v>
      </c>
      <c r="D97" s="1130"/>
      <c r="E97" s="16" t="s">
        <v>82</v>
      </c>
      <c r="F97" s="1129" t="s">
        <v>326</v>
      </c>
      <c r="G97" s="1130"/>
      <c r="H97" s="17" t="s">
        <v>82</v>
      </c>
    </row>
    <row r="98" spans="2:8" ht="15" customHeight="1" x14ac:dyDescent="0.2">
      <c r="B98" s="153" t="str">
        <f>Index!$B$4</f>
        <v>England</v>
      </c>
      <c r="C98" s="105"/>
      <c r="D98" s="105"/>
      <c r="E98" s="105"/>
      <c r="F98" s="105"/>
      <c r="G98" s="105"/>
      <c r="H98" s="105"/>
    </row>
    <row r="99" spans="2:8" ht="15" customHeight="1" x14ac:dyDescent="0.2">
      <c r="B99" s="2" t="s">
        <v>105</v>
      </c>
      <c r="C99" s="108">
        <v>133.34200000000001</v>
      </c>
      <c r="D99" s="108">
        <v>1254.0250000000001</v>
      </c>
      <c r="E99" s="119">
        <v>5.3710215358542355</v>
      </c>
      <c r="F99" s="108">
        <v>161.45600000000002</v>
      </c>
      <c r="G99" s="108">
        <v>1199.1679999999999</v>
      </c>
      <c r="H99" s="120">
        <v>5.0614004957336416</v>
      </c>
    </row>
    <row r="100" spans="2:8" ht="15" customHeight="1" x14ac:dyDescent="0.2">
      <c r="B100" s="1" t="s">
        <v>94</v>
      </c>
      <c r="C100" s="110">
        <v>41.222999999999999</v>
      </c>
      <c r="D100" s="110">
        <v>175.74100000000001</v>
      </c>
      <c r="E100" s="111">
        <v>11.061744277699338</v>
      </c>
      <c r="F100" s="110">
        <v>45.08</v>
      </c>
      <c r="G100" s="110">
        <v>181.911</v>
      </c>
      <c r="H100" s="112">
        <v>11.788178674981614</v>
      </c>
    </row>
    <row r="101" spans="2:8" ht="15" customHeight="1" x14ac:dyDescent="0.2">
      <c r="B101" s="1" t="s">
        <v>95</v>
      </c>
      <c r="C101" s="110">
        <v>43.886000000000003</v>
      </c>
      <c r="D101" s="110">
        <v>215.28100000000001</v>
      </c>
      <c r="E101" s="111">
        <v>18.218485655824118</v>
      </c>
      <c r="F101" s="110">
        <v>62.376999999999995</v>
      </c>
      <c r="G101" s="110">
        <v>193.24</v>
      </c>
      <c r="H101" s="112">
        <v>17.569347709319906</v>
      </c>
    </row>
    <row r="102" spans="2:8" ht="15" customHeight="1" x14ac:dyDescent="0.2">
      <c r="B102" s="1" t="s">
        <v>96</v>
      </c>
      <c r="C102" s="110">
        <v>4.4420000000000002</v>
      </c>
      <c r="D102" s="110">
        <v>187.47900000000001</v>
      </c>
      <c r="E102" s="111">
        <v>13.993775566430566</v>
      </c>
      <c r="F102" s="110">
        <v>3.4969999999999994</v>
      </c>
      <c r="G102" s="110">
        <v>181.68100000000001</v>
      </c>
      <c r="H102" s="112">
        <v>13.202606581726936</v>
      </c>
    </row>
    <row r="103" spans="2:8" ht="15" customHeight="1" x14ac:dyDescent="0.2">
      <c r="B103" s="1" t="s">
        <v>97</v>
      </c>
      <c r="C103" s="110">
        <v>8.2840000000000007</v>
      </c>
      <c r="D103" s="110">
        <v>255.059</v>
      </c>
      <c r="E103" s="111">
        <v>9.0981688589860195</v>
      </c>
      <c r="F103" s="110">
        <v>8.6989999999999981</v>
      </c>
      <c r="G103" s="110">
        <v>247.01400000000001</v>
      </c>
      <c r="H103" s="112">
        <v>9.3808036096027845</v>
      </c>
    </row>
    <row r="104" spans="2:8" ht="15" customHeight="1" x14ac:dyDescent="0.2">
      <c r="B104" s="1" t="s">
        <v>98</v>
      </c>
      <c r="C104" s="110">
        <v>12.567</v>
      </c>
      <c r="D104" s="110">
        <v>110.913</v>
      </c>
      <c r="E104" s="111">
        <v>10.221484627978807</v>
      </c>
      <c r="F104" s="110">
        <v>19.303000000000001</v>
      </c>
      <c r="G104" s="110">
        <v>130.25700000000001</v>
      </c>
      <c r="H104" s="112">
        <v>11.838269960308283</v>
      </c>
    </row>
    <row r="105" spans="2:8" ht="15" customHeight="1" x14ac:dyDescent="0.2">
      <c r="B105" s="1" t="s">
        <v>99</v>
      </c>
      <c r="C105" s="110">
        <v>2.7369999999999997</v>
      </c>
      <c r="D105" s="110">
        <v>90.31</v>
      </c>
      <c r="E105" s="111">
        <v>33.434592488401016</v>
      </c>
      <c r="F105" s="110">
        <v>2.7710000000000004</v>
      </c>
      <c r="G105" s="110">
        <v>60.997999999999998</v>
      </c>
      <c r="H105" s="112">
        <v>24.461170528895142</v>
      </c>
    </row>
    <row r="106" spans="2:8" ht="15" customHeight="1" x14ac:dyDescent="0.2">
      <c r="B106" s="1" t="s">
        <v>100</v>
      </c>
      <c r="C106" s="110">
        <v>0.13800000000000001</v>
      </c>
      <c r="D106" s="110">
        <v>35.018999999999998</v>
      </c>
      <c r="E106" s="111">
        <v>18.383323809279851</v>
      </c>
      <c r="F106" s="110">
        <v>0.251</v>
      </c>
      <c r="G106" s="110">
        <v>32.408000000000001</v>
      </c>
      <c r="H106" s="112">
        <v>20.997896589934975</v>
      </c>
    </row>
    <row r="107" spans="2:8" ht="15" customHeight="1" x14ac:dyDescent="0.2">
      <c r="B107" s="1" t="s">
        <v>101</v>
      </c>
      <c r="C107" s="110">
        <v>0</v>
      </c>
      <c r="D107" s="110">
        <v>21.303000000000001</v>
      </c>
      <c r="E107" s="111">
        <v>12.842392219253274</v>
      </c>
      <c r="F107" s="110">
        <v>0</v>
      </c>
      <c r="G107" s="110">
        <v>31.282</v>
      </c>
      <c r="H107" s="112">
        <v>20.693124181354069</v>
      </c>
    </row>
    <row r="108" spans="2:8" ht="15" customHeight="1" x14ac:dyDescent="0.2">
      <c r="B108" s="1" t="s">
        <v>102</v>
      </c>
      <c r="C108" s="110">
        <v>0.74399999999999999</v>
      </c>
      <c r="D108" s="110">
        <v>16.559999999999999</v>
      </c>
      <c r="E108" s="111">
        <v>21.455157743479141</v>
      </c>
      <c r="F108" s="110">
        <v>0.76600000000000013</v>
      </c>
      <c r="G108" s="110">
        <v>22.331</v>
      </c>
      <c r="H108" s="112">
        <v>32.730732100487202</v>
      </c>
    </row>
    <row r="109" spans="2:8" ht="15" customHeight="1" x14ac:dyDescent="0.2">
      <c r="B109" s="1" t="s">
        <v>103</v>
      </c>
      <c r="C109" s="110">
        <v>3.9999999999999994E-2</v>
      </c>
      <c r="D109" s="110">
        <v>24.2</v>
      </c>
      <c r="E109" s="111">
        <v>14.660025877128009</v>
      </c>
      <c r="F109" s="110">
        <v>9.0000000000000011E-3</v>
      </c>
      <c r="G109" s="110">
        <v>25.161999999999999</v>
      </c>
      <c r="H109" s="112">
        <v>21.375316090182118</v>
      </c>
    </row>
    <row r="110" spans="2:8" ht="15" customHeight="1" x14ac:dyDescent="0.2">
      <c r="B110" s="1" t="s">
        <v>104</v>
      </c>
      <c r="C110" s="114">
        <v>19.277000000000001</v>
      </c>
      <c r="D110" s="114">
        <v>140.566</v>
      </c>
      <c r="E110" s="115">
        <v>10.134478679778162</v>
      </c>
      <c r="F110" s="114">
        <v>18.696999999999999</v>
      </c>
      <c r="G110" s="114">
        <v>102.815</v>
      </c>
      <c r="H110" s="116">
        <v>11.125262609265233</v>
      </c>
    </row>
    <row r="113" spans="2:5" ht="15" customHeight="1" x14ac:dyDescent="0.2">
      <c r="B113" s="1131" t="s">
        <v>77</v>
      </c>
      <c r="C113" s="1133" t="s">
        <v>233</v>
      </c>
      <c r="D113" s="1134"/>
      <c r="E113" s="1134"/>
    </row>
    <row r="114" spans="2:5" ht="15" customHeight="1" x14ac:dyDescent="0.2">
      <c r="B114" s="1131"/>
      <c r="C114" s="826" t="s">
        <v>78</v>
      </c>
      <c r="D114" s="1127" t="s">
        <v>79</v>
      </c>
      <c r="E114" s="1128"/>
    </row>
    <row r="115" spans="2:5" ht="30" customHeight="1" x14ac:dyDescent="0.2">
      <c r="B115" s="1132"/>
      <c r="C115" s="1129" t="s">
        <v>326</v>
      </c>
      <c r="D115" s="1130"/>
      <c r="E115" s="17" t="s">
        <v>82</v>
      </c>
    </row>
    <row r="116" spans="2:5" ht="15" customHeight="1" x14ac:dyDescent="0.2">
      <c r="B116" s="153" t="str">
        <f>Index!$B$4</f>
        <v>England</v>
      </c>
      <c r="C116" s="105"/>
      <c r="D116" s="105"/>
      <c r="E116" s="105"/>
    </row>
    <row r="117" spans="2:5" ht="15" customHeight="1" x14ac:dyDescent="0.2">
      <c r="B117" s="2" t="s">
        <v>105</v>
      </c>
      <c r="C117" s="108">
        <v>156.49700000000001</v>
      </c>
      <c r="D117" s="108">
        <v>1288.5909999999999</v>
      </c>
      <c r="E117" s="120">
        <v>5.2217546866884801</v>
      </c>
    </row>
    <row r="118" spans="2:5" ht="15" customHeight="1" x14ac:dyDescent="0.2">
      <c r="B118" s="1" t="s">
        <v>94</v>
      </c>
      <c r="C118" s="110">
        <v>54.809999999999995</v>
      </c>
      <c r="D118" s="110">
        <v>186.59899999999999</v>
      </c>
      <c r="E118" s="112">
        <v>13.81774268178299</v>
      </c>
    </row>
    <row r="119" spans="2:5" ht="15" customHeight="1" x14ac:dyDescent="0.2">
      <c r="B119" s="1" t="s">
        <v>95</v>
      </c>
      <c r="C119" s="110">
        <v>57.134</v>
      </c>
      <c r="D119" s="110">
        <v>152.23599999999999</v>
      </c>
      <c r="E119" s="112">
        <v>19.197195408748605</v>
      </c>
    </row>
    <row r="120" spans="2:5" ht="15" customHeight="1" x14ac:dyDescent="0.2">
      <c r="B120" s="1" t="s">
        <v>96</v>
      </c>
      <c r="C120" s="110">
        <v>2.9590000000000001</v>
      </c>
      <c r="D120" s="110">
        <v>205.63800000000001</v>
      </c>
      <c r="E120" s="112">
        <v>10.746743145273969</v>
      </c>
    </row>
    <row r="121" spans="2:5" ht="15" customHeight="1" x14ac:dyDescent="0.2">
      <c r="B121" s="1" t="s">
        <v>97</v>
      </c>
      <c r="C121" s="110">
        <v>6.9059999999999997</v>
      </c>
      <c r="D121" s="110">
        <v>213.34399999999999</v>
      </c>
      <c r="E121" s="112">
        <v>8.8255771700821946</v>
      </c>
    </row>
    <row r="122" spans="2:5" ht="15" customHeight="1" x14ac:dyDescent="0.2">
      <c r="B122" s="1" t="s">
        <v>98</v>
      </c>
      <c r="C122" s="110">
        <v>14.669999999999998</v>
      </c>
      <c r="D122" s="110">
        <v>203.756</v>
      </c>
      <c r="E122" s="112">
        <v>13.38505908048421</v>
      </c>
    </row>
    <row r="123" spans="2:5" ht="15" customHeight="1" x14ac:dyDescent="0.2">
      <c r="B123" s="1" t="s">
        <v>99</v>
      </c>
      <c r="C123" s="110">
        <v>2.536</v>
      </c>
      <c r="D123" s="110">
        <v>29.335999999999999</v>
      </c>
      <c r="E123" s="112">
        <v>26.125991809771612</v>
      </c>
    </row>
    <row r="124" spans="2:5" ht="15" customHeight="1" x14ac:dyDescent="0.2">
      <c r="B124" s="1" t="s">
        <v>100</v>
      </c>
      <c r="C124" s="110">
        <v>0.76</v>
      </c>
      <c r="D124" s="110">
        <v>21.754000000000001</v>
      </c>
      <c r="E124" s="112">
        <v>18.449082622393099</v>
      </c>
    </row>
    <row r="125" spans="2:5" ht="15" customHeight="1" x14ac:dyDescent="0.2">
      <c r="B125" s="1" t="s">
        <v>101</v>
      </c>
      <c r="C125" s="110">
        <v>0</v>
      </c>
      <c r="D125" s="110">
        <v>41.531999999999996</v>
      </c>
      <c r="E125" s="112">
        <v>22.093200518479392</v>
      </c>
    </row>
    <row r="126" spans="2:5" ht="15" customHeight="1" x14ac:dyDescent="0.2">
      <c r="B126" s="1" t="s">
        <v>102</v>
      </c>
      <c r="C126" s="110">
        <v>1.133</v>
      </c>
      <c r="D126" s="110">
        <v>18.638999999999999</v>
      </c>
      <c r="E126" s="112">
        <v>21.046281741485352</v>
      </c>
    </row>
    <row r="127" spans="2:5" ht="15" customHeight="1" x14ac:dyDescent="0.2">
      <c r="B127" s="1" t="s">
        <v>103</v>
      </c>
      <c r="C127" s="110">
        <v>4.0999999999999995E-2</v>
      </c>
      <c r="D127" s="110">
        <v>53.561</v>
      </c>
      <c r="E127" s="112">
        <v>31.803427922742806</v>
      </c>
    </row>
    <row r="128" spans="2:5" ht="15" customHeight="1" x14ac:dyDescent="0.2">
      <c r="B128" s="1" t="s">
        <v>104</v>
      </c>
      <c r="C128" s="114">
        <v>15.545999999999999</v>
      </c>
      <c r="D128" s="114">
        <v>162.58000000000001</v>
      </c>
      <c r="E128" s="116">
        <v>13.440494351953189</v>
      </c>
    </row>
  </sheetData>
  <mergeCells count="73">
    <mergeCell ref="C7:D7"/>
    <mergeCell ref="F7:G7"/>
    <mergeCell ref="I7:J7"/>
    <mergeCell ref="L7:M7"/>
    <mergeCell ref="O7:P7"/>
    <mergeCell ref="X5:Z5"/>
    <mergeCell ref="O5:Q5"/>
    <mergeCell ref="AD7:AE7"/>
    <mergeCell ref="AA5:AC5"/>
    <mergeCell ref="AD5:AF5"/>
    <mergeCell ref="S6:T6"/>
    <mergeCell ref="V6:W6"/>
    <mergeCell ref="Y6:Z6"/>
    <mergeCell ref="AB6:AC6"/>
    <mergeCell ref="AE6:AF6"/>
    <mergeCell ref="R7:S7"/>
    <mergeCell ref="U7:V7"/>
    <mergeCell ref="X7:Y7"/>
    <mergeCell ref="AG5:AI5"/>
    <mergeCell ref="AH6:AI6"/>
    <mergeCell ref="AG7:AH7"/>
    <mergeCell ref="B5:B7"/>
    <mergeCell ref="C5:E5"/>
    <mergeCell ref="F5:H5"/>
    <mergeCell ref="I5:K5"/>
    <mergeCell ref="L5:N5"/>
    <mergeCell ref="D6:E6"/>
    <mergeCell ref="G6:H6"/>
    <mergeCell ref="J6:K6"/>
    <mergeCell ref="AA7:AB7"/>
    <mergeCell ref="M6:N6"/>
    <mergeCell ref="P6:Q6"/>
    <mergeCell ref="R5:T5"/>
    <mergeCell ref="U5:W5"/>
    <mergeCell ref="D24:E24"/>
    <mergeCell ref="G24:H24"/>
    <mergeCell ref="B23:B25"/>
    <mergeCell ref="C23:E23"/>
    <mergeCell ref="F23:H23"/>
    <mergeCell ref="C25:D25"/>
    <mergeCell ref="F25:G25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G78:H78"/>
    <mergeCell ref="F79:G79"/>
    <mergeCell ref="C79:D79"/>
    <mergeCell ref="D78:E78"/>
    <mergeCell ref="B77:B79"/>
    <mergeCell ref="F77:H77"/>
    <mergeCell ref="C77:E77"/>
    <mergeCell ref="F95:H95"/>
    <mergeCell ref="G96:H96"/>
    <mergeCell ref="D96:E96"/>
    <mergeCell ref="C95:E95"/>
    <mergeCell ref="B95:B97"/>
    <mergeCell ref="D114:E114"/>
    <mergeCell ref="C115:D115"/>
    <mergeCell ref="F97:G97"/>
    <mergeCell ref="B113:B115"/>
    <mergeCell ref="C113:E113"/>
    <mergeCell ref="C97:D9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between" id="{1C037A5B-F9EF-4AD8-AD00-2940264819D8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cellIs" priority="37" operator="between" id="{14C50D1E-1B46-4C36-B66A-1A33E65F50F4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44" id="{5F3C0A3D-146D-4388-B720-E3F8B10DA17F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3" operator="between" id="{1034AD62-A31A-49B6-B979-4CED536F8DE9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2" id="{0B856796-C850-4053-90F6-416DBB6D2F8A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1" operator="between" id="{ECF58F37-C524-4D1F-801A-835C82D7B441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0" id="{E950124B-9371-4A3E-B328-536ECFE5FD35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39" operator="between" id="{12E788B5-AD3D-48FD-9EF3-3214E2DA57A5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38" id="{2278A113-6338-47FF-8B82-BE75E0202D30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expression" priority="36" id="{7BA93E0F-35E1-4331-A5C7-232449E2F4C5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35" operator="between" id="{79EF0D31-E81B-44B4-B7D9-8245DB13229B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34" id="{EEC0EAA4-48A4-4F82-A82A-1409D4593672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33" operator="between" id="{9D136030-DE83-474D-ACAC-BFD4E2034241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32" id="{8941C02F-0E84-487F-A7AC-F1F26DE6212E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31" operator="between" id="{0C188C9A-2849-4981-814F-5E2E99D06451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30" id="{6B07982E-5C36-469E-8E88-71F9E0B70B10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29" operator="between" id="{B8B98674-2C59-4CD9-9192-8E5A7C784171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28" id="{4EF0AD6C-3755-46A1-AB80-0946D8534482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expression" priority="26" id="{569C1680-7531-4E35-B261-02F30B88299A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25" operator="between" id="{C9F4B760-48C8-4ED9-883C-211F2A0128E2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4" id="{9BD81D24-CC00-4D60-A29B-7BE3130A932C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23" operator="between" id="{B667AEC0-BCAD-4D06-AAB5-5AE77149CFC9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  <x14:conditionalFormatting xmlns:xm="http://schemas.microsoft.com/office/excel/2006/main">
          <x14:cfRule type="expression" priority="22" id="{1D1F1537-307B-401D-9A9F-3AFF672DBDE8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21" operator="between" id="{9E9DE835-53DB-4576-A543-6828B710EF4A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20" id="{A88E83CC-1812-4C3C-B496-5DC0194F03BB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19" operator="between" id="{1537BFA6-53A0-40DD-BCC5-73ECE830712F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18" id="{0DEF1130-B786-49C9-B526-119D254BFCCC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17" operator="between" id="{5FF3F603-6510-41EF-9433-1E20E7E4F618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16" id="{690BA47A-309F-4C97-A0BB-D02D0B6B6BB0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15" operator="between" id="{06F99DD8-40F2-42D4-8961-9ACB850D4B0A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14" id="{6908394A-985E-4AD5-91D8-C329AF76B5BA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13" operator="between" id="{F41376FB-5B84-45B4-B7C4-1FD9F540F417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12" id="{B11E9856-7E4C-4558-912B-28F60C4E56B8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11" operator="between" id="{A7EC4E1B-E16E-4701-BE86-3203AF055A89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expression" priority="10" id="{A9ED10D3-AA20-4EAC-92F5-ABF6BCE26580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cellIs" priority="9" operator="between" id="{0EF95332-841A-41C9-AE86-8542D6E8F177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8" id="{34CBA8B9-F273-4E5E-9439-E3A36F6E3ACB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7" operator="between" id="{BB769030-6D42-4861-B1D3-0FD6494C2670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6" id="{B47CE342-46E7-4B06-A9D7-4DD7D2F0217F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5" operator="between" id="{7B692C64-D473-4409-8526-BD6DCCE32969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4" id="{08F82ACA-4F20-4BCA-8B19-A58A4B42A5B0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cellIs" priority="3" operator="between" id="{8674F305-C3F7-4E24-8D09-92C578766245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expression" priority="2" id="{48E108C1-51B1-43C1-8FE0-E8CA2D616C75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" operator="between" id="{936833B7-E6A4-4671-AB59-06012BABCC31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0.59999389629810485"/>
  </sheetPr>
  <dimension ref="B3:AI107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329</v>
      </c>
      <c r="C3" t="s">
        <v>492</v>
      </c>
    </row>
    <row r="5" spans="2:35" ht="15" customHeight="1" x14ac:dyDescent="0.2">
      <c r="B5" s="1139" t="s">
        <v>358</v>
      </c>
      <c r="C5" s="1141" t="s">
        <v>332</v>
      </c>
      <c r="D5" s="1141"/>
      <c r="E5" s="1141"/>
      <c r="F5" s="1141" t="s">
        <v>222</v>
      </c>
      <c r="G5" s="1141"/>
      <c r="H5" s="1141"/>
      <c r="I5" s="1141" t="s">
        <v>225</v>
      </c>
      <c r="J5" s="1141"/>
      <c r="K5" s="1141"/>
      <c r="L5" s="1141" t="s">
        <v>226</v>
      </c>
      <c r="M5" s="1141"/>
      <c r="N5" s="1141"/>
      <c r="O5" s="1141" t="s">
        <v>227</v>
      </c>
      <c r="P5" s="1141"/>
      <c r="Q5" s="1141"/>
      <c r="R5" s="1141" t="s">
        <v>228</v>
      </c>
      <c r="S5" s="1141"/>
      <c r="T5" s="1141"/>
      <c r="U5" s="1141" t="s">
        <v>333</v>
      </c>
      <c r="V5" s="1141"/>
      <c r="W5" s="1141"/>
      <c r="X5" s="1141" t="s">
        <v>334</v>
      </c>
      <c r="Y5" s="1141"/>
      <c r="Z5" s="1141"/>
      <c r="AA5" s="1141" t="s">
        <v>231</v>
      </c>
      <c r="AB5" s="1141"/>
      <c r="AC5" s="1141"/>
      <c r="AD5" s="1141" t="s">
        <v>232</v>
      </c>
      <c r="AE5" s="1141"/>
      <c r="AF5" s="1141"/>
      <c r="AG5" s="1141" t="s">
        <v>233</v>
      </c>
      <c r="AH5" s="1141"/>
      <c r="AI5" s="1133"/>
    </row>
    <row r="6" spans="2:35" ht="15" customHeight="1" x14ac:dyDescent="0.2">
      <c r="B6" s="1140"/>
      <c r="C6" s="103" t="s">
        <v>78</v>
      </c>
      <c r="D6" s="1137" t="s">
        <v>79</v>
      </c>
      <c r="E6" s="1137"/>
      <c r="F6" s="103" t="s">
        <v>78</v>
      </c>
      <c r="G6" s="1137" t="s">
        <v>79</v>
      </c>
      <c r="H6" s="1137"/>
      <c r="I6" s="103" t="s">
        <v>78</v>
      </c>
      <c r="J6" s="1137" t="s">
        <v>79</v>
      </c>
      <c r="K6" s="1137"/>
      <c r="L6" s="103" t="s">
        <v>78</v>
      </c>
      <c r="M6" s="1137" t="s">
        <v>79</v>
      </c>
      <c r="N6" s="1137"/>
      <c r="O6" s="103" t="s">
        <v>78</v>
      </c>
      <c r="P6" s="1137" t="s">
        <v>79</v>
      </c>
      <c r="Q6" s="1137"/>
      <c r="R6" s="103" t="s">
        <v>78</v>
      </c>
      <c r="S6" s="1137" t="s">
        <v>79</v>
      </c>
      <c r="T6" s="1137"/>
      <c r="U6" s="103" t="s">
        <v>78</v>
      </c>
      <c r="V6" s="1137" t="s">
        <v>79</v>
      </c>
      <c r="W6" s="1137"/>
      <c r="X6" s="103" t="s">
        <v>78</v>
      </c>
      <c r="Y6" s="1137" t="s">
        <v>79</v>
      </c>
      <c r="Z6" s="1137"/>
      <c r="AA6" s="103" t="s">
        <v>78</v>
      </c>
      <c r="AB6" s="1137" t="s">
        <v>79</v>
      </c>
      <c r="AC6" s="1137"/>
      <c r="AD6" s="103" t="s">
        <v>78</v>
      </c>
      <c r="AE6" s="1137" t="s">
        <v>79</v>
      </c>
      <c r="AF6" s="1137"/>
      <c r="AG6" s="103" t="s">
        <v>78</v>
      </c>
      <c r="AH6" s="1137" t="s">
        <v>79</v>
      </c>
      <c r="AI6" s="1127"/>
    </row>
    <row r="7" spans="2:35" ht="30" customHeight="1" x14ac:dyDescent="0.2">
      <c r="B7" s="1140"/>
      <c r="C7" s="1138" t="s">
        <v>326</v>
      </c>
      <c r="D7" s="1138"/>
      <c r="E7" s="16" t="s">
        <v>82</v>
      </c>
      <c r="F7" s="1138" t="s">
        <v>326</v>
      </c>
      <c r="G7" s="1138"/>
      <c r="H7" s="16" t="s">
        <v>82</v>
      </c>
      <c r="I7" s="1138" t="s">
        <v>326</v>
      </c>
      <c r="J7" s="1138"/>
      <c r="K7" s="16" t="s">
        <v>82</v>
      </c>
      <c r="L7" s="1138" t="s">
        <v>326</v>
      </c>
      <c r="M7" s="1138"/>
      <c r="N7" s="16" t="s">
        <v>82</v>
      </c>
      <c r="O7" s="1138" t="s">
        <v>326</v>
      </c>
      <c r="P7" s="1138"/>
      <c r="Q7" s="16" t="s">
        <v>82</v>
      </c>
      <c r="R7" s="1138" t="s">
        <v>326</v>
      </c>
      <c r="S7" s="1138"/>
      <c r="T7" s="16" t="s">
        <v>82</v>
      </c>
      <c r="U7" s="1138" t="s">
        <v>326</v>
      </c>
      <c r="V7" s="1138"/>
      <c r="W7" s="16" t="s">
        <v>82</v>
      </c>
      <c r="X7" s="1138" t="s">
        <v>326</v>
      </c>
      <c r="Y7" s="1138"/>
      <c r="Z7" s="16" t="s">
        <v>82</v>
      </c>
      <c r="AA7" s="1138" t="s">
        <v>326</v>
      </c>
      <c r="AB7" s="1138"/>
      <c r="AC7" s="16" t="s">
        <v>82</v>
      </c>
      <c r="AD7" s="1138" t="s">
        <v>326</v>
      </c>
      <c r="AE7" s="1138"/>
      <c r="AF7" s="16" t="s">
        <v>82</v>
      </c>
      <c r="AG7" s="1138" t="s">
        <v>326</v>
      </c>
      <c r="AH7" s="1138"/>
      <c r="AI7" s="17" t="s">
        <v>82</v>
      </c>
    </row>
    <row r="8" spans="2:35" ht="15" customHeight="1" x14ac:dyDescent="0.2">
      <c r="B8" s="144" t="str">
        <f>Index!$B$4</f>
        <v>England</v>
      </c>
      <c r="C8" s="121"/>
      <c r="D8" s="122"/>
      <c r="E8" s="123"/>
      <c r="F8" s="124"/>
      <c r="G8" s="122"/>
      <c r="H8" s="123"/>
      <c r="I8" s="124"/>
      <c r="J8" s="122"/>
      <c r="K8" s="123"/>
      <c r="L8" s="124"/>
      <c r="M8" s="122"/>
      <c r="N8" s="123"/>
      <c r="O8" s="124"/>
      <c r="P8" s="122"/>
      <c r="Q8" s="123"/>
      <c r="R8" s="124"/>
      <c r="S8" s="122"/>
      <c r="T8" s="123"/>
      <c r="U8" s="124"/>
      <c r="V8" s="122"/>
      <c r="W8" s="123"/>
      <c r="X8" s="124"/>
      <c r="Y8" s="122"/>
      <c r="Z8" s="123"/>
      <c r="AA8" s="124"/>
      <c r="AB8" s="122"/>
      <c r="AC8" s="123"/>
      <c r="AD8" s="124"/>
      <c r="AE8" s="122"/>
      <c r="AF8" s="123"/>
      <c r="AG8" s="124"/>
      <c r="AH8" s="122"/>
      <c r="AI8" s="123"/>
    </row>
    <row r="9" spans="2:35" ht="15" customHeight="1" x14ac:dyDescent="0.2">
      <c r="B9" s="109" t="s">
        <v>214</v>
      </c>
      <c r="C9" s="330">
        <v>28.030999999999999</v>
      </c>
      <c r="D9" s="330">
        <v>245.40899999999999</v>
      </c>
      <c r="E9" s="127">
        <v>5.472028696060045</v>
      </c>
      <c r="F9" s="330">
        <v>14.754</v>
      </c>
      <c r="G9" s="330">
        <v>239.34299999999999</v>
      </c>
      <c r="H9" s="127">
        <v>4.3152435585345854</v>
      </c>
      <c r="I9" s="330">
        <v>23.207999999999998</v>
      </c>
      <c r="J9" s="330">
        <v>222.37700000000001</v>
      </c>
      <c r="K9" s="127">
        <v>4.9523174640337997</v>
      </c>
      <c r="L9" s="330">
        <v>18.285</v>
      </c>
      <c r="M9" s="330">
        <v>245.77199999999999</v>
      </c>
      <c r="N9" s="127">
        <v>3.5872438887455345</v>
      </c>
      <c r="O9" s="330">
        <v>23.207999999999998</v>
      </c>
      <c r="P9" s="330">
        <v>296.36500000000001</v>
      </c>
      <c r="Q9" s="127">
        <v>3.6539608545962721</v>
      </c>
      <c r="R9" s="330">
        <v>18.285</v>
      </c>
      <c r="S9" s="330">
        <v>321.66000000000003</v>
      </c>
      <c r="T9" s="127">
        <v>3.4759425905810879</v>
      </c>
      <c r="U9" s="330">
        <v>46.185000000000002</v>
      </c>
      <c r="V9" s="330">
        <v>335.29199999999997</v>
      </c>
      <c r="W9" s="127">
        <v>3.2705481961857714</v>
      </c>
      <c r="X9" s="330">
        <v>37.338000000000001</v>
      </c>
      <c r="Y9" s="330">
        <v>289.93599999999998</v>
      </c>
      <c r="Z9" s="127">
        <v>3.399168077676836</v>
      </c>
      <c r="AA9" s="330">
        <v>43.784999999999997</v>
      </c>
      <c r="AB9" s="330">
        <v>258.44</v>
      </c>
      <c r="AC9" s="127">
        <v>3.5406074066108979</v>
      </c>
      <c r="AD9" s="330">
        <v>52.08</v>
      </c>
      <c r="AE9" s="330">
        <v>239.45699999999999</v>
      </c>
      <c r="AF9" s="127">
        <v>3.7757666169094009</v>
      </c>
      <c r="AG9" s="330">
        <v>49.482999999999997</v>
      </c>
      <c r="AH9" s="330">
        <v>259.01600000000002</v>
      </c>
      <c r="AI9" s="127">
        <v>3.5867762293409022</v>
      </c>
    </row>
    <row r="10" spans="2:35" ht="15" customHeight="1" x14ac:dyDescent="0.2">
      <c r="B10" s="109" t="s">
        <v>215</v>
      </c>
      <c r="C10" s="330">
        <v>5.2510000000000003</v>
      </c>
      <c r="D10" s="330">
        <v>81.436999999999998</v>
      </c>
      <c r="E10" s="127">
        <v>5.9892604390794375</v>
      </c>
      <c r="F10" s="330">
        <v>2.8839999999999999</v>
      </c>
      <c r="G10" s="330">
        <v>69.230999999999995</v>
      </c>
      <c r="H10" s="127">
        <v>5.4665952120338108</v>
      </c>
      <c r="I10" s="330">
        <v>5.6269999999999998</v>
      </c>
      <c r="J10" s="330">
        <v>43.826000000000001</v>
      </c>
      <c r="K10" s="127">
        <v>6.6268101148737948</v>
      </c>
      <c r="L10" s="330">
        <v>4.431</v>
      </c>
      <c r="M10" s="330">
        <v>37.232999999999997</v>
      </c>
      <c r="N10" s="127">
        <v>6.4542083217046935</v>
      </c>
      <c r="O10" s="330">
        <v>5.6269999999999998</v>
      </c>
      <c r="P10" s="330">
        <v>40.622999999999998</v>
      </c>
      <c r="Q10" s="127">
        <v>5.6784051238735334</v>
      </c>
      <c r="R10" s="330">
        <v>4.431</v>
      </c>
      <c r="S10" s="330">
        <v>48.387</v>
      </c>
      <c r="T10" s="127">
        <v>4.0609287565847758</v>
      </c>
      <c r="U10" s="330">
        <v>14.59</v>
      </c>
      <c r="V10" s="330">
        <v>74.162000000000006</v>
      </c>
      <c r="W10" s="127">
        <v>3.5681060672724514</v>
      </c>
      <c r="X10" s="330">
        <v>8.8040000000000003</v>
      </c>
      <c r="Y10" s="330">
        <v>68.361999999999995</v>
      </c>
      <c r="Z10" s="127">
        <v>3.736914742205498</v>
      </c>
      <c r="AA10" s="330">
        <v>10.238</v>
      </c>
      <c r="AB10" s="330">
        <v>62.404000000000003</v>
      </c>
      <c r="AC10" s="127">
        <v>3.7783832606499357</v>
      </c>
      <c r="AD10" s="330">
        <v>14.327</v>
      </c>
      <c r="AE10" s="330">
        <v>56.906999999999996</v>
      </c>
      <c r="AF10" s="127">
        <v>3.9934704456046095</v>
      </c>
      <c r="AG10" s="330">
        <v>12.616</v>
      </c>
      <c r="AH10" s="330">
        <v>69.248999999999995</v>
      </c>
      <c r="AI10" s="127">
        <v>4.4957865888922317</v>
      </c>
    </row>
    <row r="11" spans="2:35" ht="15" customHeight="1" x14ac:dyDescent="0.2">
      <c r="B11" s="109" t="s">
        <v>216</v>
      </c>
      <c r="C11" s="330">
        <v>4.9009999999999998</v>
      </c>
      <c r="D11" s="330">
        <v>97.221000000000004</v>
      </c>
      <c r="E11" s="127">
        <v>6.0944332608730747</v>
      </c>
      <c r="F11" s="330">
        <v>3.0419999999999998</v>
      </c>
      <c r="G11" s="330">
        <v>82.739000000000004</v>
      </c>
      <c r="H11" s="127">
        <v>5.6137060425889374</v>
      </c>
      <c r="I11" s="330">
        <v>5.5279999999999996</v>
      </c>
      <c r="J11" s="330">
        <v>45.612000000000002</v>
      </c>
      <c r="K11" s="127">
        <v>6.9360913938644586</v>
      </c>
      <c r="L11" s="330">
        <v>4.7240000000000002</v>
      </c>
      <c r="M11" s="330">
        <v>40.106999999999999</v>
      </c>
      <c r="N11" s="127">
        <v>7.8957723740893462</v>
      </c>
      <c r="O11" s="330">
        <v>5.5279999999999996</v>
      </c>
      <c r="P11" s="330">
        <v>36.44</v>
      </c>
      <c r="Q11" s="127">
        <v>7.5044148894713194</v>
      </c>
      <c r="R11" s="330">
        <v>4.7240000000000002</v>
      </c>
      <c r="S11" s="330">
        <v>41.951000000000001</v>
      </c>
      <c r="T11" s="127">
        <v>4.7637005168386199</v>
      </c>
      <c r="U11" s="330">
        <v>14.55</v>
      </c>
      <c r="V11" s="330">
        <v>75.305999999999997</v>
      </c>
      <c r="W11" s="127">
        <v>3.8259958263484828</v>
      </c>
      <c r="X11" s="330">
        <v>8.8450000000000006</v>
      </c>
      <c r="Y11" s="330">
        <v>71.16</v>
      </c>
      <c r="Z11" s="127">
        <v>4.1626797608043207</v>
      </c>
      <c r="AA11" s="330">
        <v>9.3390000000000004</v>
      </c>
      <c r="AB11" s="330">
        <v>66.971999999999994</v>
      </c>
      <c r="AC11" s="127">
        <v>4.2499364185294368</v>
      </c>
      <c r="AD11" s="330">
        <v>13.218999999999999</v>
      </c>
      <c r="AE11" s="330">
        <v>61.098999999999997</v>
      </c>
      <c r="AF11" s="127">
        <v>4.3256828498430755</v>
      </c>
      <c r="AG11" s="330">
        <v>11.816000000000001</v>
      </c>
      <c r="AH11" s="330">
        <v>78.052000000000007</v>
      </c>
      <c r="AI11" s="127">
        <v>4.8359903737586336</v>
      </c>
    </row>
    <row r="12" spans="2:35" ht="15" customHeight="1" x14ac:dyDescent="0.2">
      <c r="B12" s="109" t="s">
        <v>217</v>
      </c>
      <c r="C12" s="330">
        <v>13.411</v>
      </c>
      <c r="D12" s="330">
        <v>380.19299999999998</v>
      </c>
      <c r="E12" s="127">
        <v>5.7229641745050648</v>
      </c>
      <c r="F12" s="330">
        <v>9.5660000000000007</v>
      </c>
      <c r="G12" s="330">
        <v>336.54199999999997</v>
      </c>
      <c r="H12" s="127">
        <v>5.3850461251100077</v>
      </c>
      <c r="I12" s="330">
        <v>16.571000000000002</v>
      </c>
      <c r="J12" s="330">
        <v>172.28399999999999</v>
      </c>
      <c r="K12" s="127">
        <v>6.6363162193703626</v>
      </c>
      <c r="L12" s="330">
        <v>16.283999999999999</v>
      </c>
      <c r="M12" s="330">
        <v>147.709</v>
      </c>
      <c r="N12" s="127">
        <v>9.1142696984735192</v>
      </c>
      <c r="O12" s="330">
        <v>16.571000000000002</v>
      </c>
      <c r="P12" s="330">
        <v>118.354</v>
      </c>
      <c r="Q12" s="127">
        <v>11.523138708441728</v>
      </c>
      <c r="R12" s="330">
        <v>16.283999999999999</v>
      </c>
      <c r="S12" s="330">
        <v>112.71</v>
      </c>
      <c r="T12" s="127">
        <v>5.6883997041868186</v>
      </c>
      <c r="U12" s="330">
        <v>40.140999999999998</v>
      </c>
      <c r="V12" s="330">
        <v>214.684</v>
      </c>
      <c r="W12" s="127">
        <v>4.3181811105335166</v>
      </c>
      <c r="X12" s="330">
        <v>26.288</v>
      </c>
      <c r="Y12" s="330">
        <v>211.298</v>
      </c>
      <c r="Z12" s="127">
        <v>4.6131946683102507</v>
      </c>
      <c r="AA12" s="330">
        <v>23.094999999999999</v>
      </c>
      <c r="AB12" s="330">
        <v>215.66300000000001</v>
      </c>
      <c r="AC12" s="127">
        <v>4.8815291173863793</v>
      </c>
      <c r="AD12" s="330">
        <v>32.979999999999997</v>
      </c>
      <c r="AE12" s="330">
        <v>199.791</v>
      </c>
      <c r="AF12" s="127">
        <v>4.8970054704125383</v>
      </c>
      <c r="AG12" s="330">
        <v>29.690999999999999</v>
      </c>
      <c r="AH12" s="330">
        <v>265.17500000000001</v>
      </c>
      <c r="AI12" s="127">
        <v>5.2175600914579476</v>
      </c>
    </row>
    <row r="13" spans="2:35" ht="15" customHeight="1" x14ac:dyDescent="0.2">
      <c r="B13" s="109" t="s">
        <v>218</v>
      </c>
      <c r="C13" s="330">
        <v>12.46</v>
      </c>
      <c r="D13" s="330">
        <v>641.58600000000001</v>
      </c>
      <c r="E13" s="127">
        <v>6.6281424869453707</v>
      </c>
      <c r="F13" s="330">
        <v>9.8970000000000002</v>
      </c>
      <c r="G13" s="330">
        <v>602.39700000000005</v>
      </c>
      <c r="H13" s="127">
        <v>6.3632059404802295</v>
      </c>
      <c r="I13" s="330">
        <v>17.585000000000001</v>
      </c>
      <c r="J13" s="330">
        <v>287.072</v>
      </c>
      <c r="K13" s="127">
        <v>7.2415290839352409</v>
      </c>
      <c r="L13" s="330">
        <v>18.968</v>
      </c>
      <c r="M13" s="330">
        <v>256.541</v>
      </c>
      <c r="N13" s="127">
        <v>11.113246035545489</v>
      </c>
      <c r="O13" s="330">
        <v>17.585000000000001</v>
      </c>
      <c r="P13" s="330">
        <v>196.87</v>
      </c>
      <c r="Q13" s="127">
        <v>11.688781495540221</v>
      </c>
      <c r="R13" s="330">
        <v>18.968</v>
      </c>
      <c r="S13" s="330">
        <v>140.99</v>
      </c>
      <c r="T13" s="127">
        <v>8.5432094457883263</v>
      </c>
      <c r="U13" s="330">
        <v>40.618000000000002</v>
      </c>
      <c r="V13" s="330">
        <v>203.273</v>
      </c>
      <c r="W13" s="127">
        <v>8.7000841884682529</v>
      </c>
      <c r="X13" s="330">
        <v>27.323</v>
      </c>
      <c r="Y13" s="330">
        <v>200.28200000000001</v>
      </c>
      <c r="Z13" s="127">
        <v>8.2459654949458265</v>
      </c>
      <c r="AA13" s="330">
        <v>23.911999999999999</v>
      </c>
      <c r="AB13" s="330">
        <v>281.92</v>
      </c>
      <c r="AC13" s="127">
        <v>7.4109985582514506</v>
      </c>
      <c r="AD13" s="330">
        <v>29.433</v>
      </c>
      <c r="AE13" s="330">
        <v>280.601</v>
      </c>
      <c r="AF13" s="127">
        <v>6.827839488000901</v>
      </c>
      <c r="AG13" s="330">
        <v>28.762</v>
      </c>
      <c r="AH13" s="330">
        <v>307.72199999999998</v>
      </c>
      <c r="AI13" s="127">
        <v>7.1649692322856104</v>
      </c>
    </row>
    <row r="14" spans="2:35" ht="15" customHeight="1" x14ac:dyDescent="0.2">
      <c r="B14" s="109" t="s">
        <v>219</v>
      </c>
      <c r="C14" s="330">
        <v>4.51</v>
      </c>
      <c r="D14" s="330">
        <v>422.20800000000003</v>
      </c>
      <c r="E14" s="127">
        <v>9.2148759738053432</v>
      </c>
      <c r="F14" s="330">
        <v>3.58</v>
      </c>
      <c r="G14" s="330">
        <v>355.18400000000003</v>
      </c>
      <c r="H14" s="127">
        <v>7.7552830133675394</v>
      </c>
      <c r="I14" s="330">
        <v>6.2939999999999996</v>
      </c>
      <c r="J14" s="330">
        <v>172.821</v>
      </c>
      <c r="K14" s="127">
        <v>8.6666723424314895</v>
      </c>
      <c r="L14" s="330">
        <v>6.9770000000000003</v>
      </c>
      <c r="M14" s="330">
        <v>153.61699999999999</v>
      </c>
      <c r="N14" s="127">
        <v>11.462390139605752</v>
      </c>
      <c r="O14" s="330">
        <v>6.2939999999999996</v>
      </c>
      <c r="P14" s="330">
        <v>125.604</v>
      </c>
      <c r="Q14" s="127">
        <v>11.376216445767623</v>
      </c>
      <c r="R14" s="330">
        <v>6.9770000000000003</v>
      </c>
      <c r="S14" s="330">
        <v>85.617999999999995</v>
      </c>
      <c r="T14" s="127">
        <v>11.520057760892703</v>
      </c>
      <c r="U14" s="330">
        <v>17.684000000000001</v>
      </c>
      <c r="V14" s="330">
        <v>108.696</v>
      </c>
      <c r="W14" s="127">
        <v>12.99046068804963</v>
      </c>
      <c r="X14" s="330">
        <v>10.472</v>
      </c>
      <c r="Y14" s="330">
        <v>117.738</v>
      </c>
      <c r="Z14" s="127">
        <v>13.442826650949899</v>
      </c>
      <c r="AA14" s="330">
        <v>11.307</v>
      </c>
      <c r="AB14" s="330">
        <v>161.74100000000001</v>
      </c>
      <c r="AC14" s="127">
        <v>9.3688890582607325</v>
      </c>
      <c r="AD14" s="330">
        <v>10.776</v>
      </c>
      <c r="AE14" s="330">
        <v>157.886</v>
      </c>
      <c r="AF14" s="127">
        <v>7.9809367086968441</v>
      </c>
      <c r="AG14" s="330">
        <v>12.452</v>
      </c>
      <c r="AH14" s="330">
        <v>147.45599999999999</v>
      </c>
      <c r="AI14" s="127">
        <v>8.964038146397014</v>
      </c>
    </row>
    <row r="15" spans="2:35" ht="15" customHeight="1" x14ac:dyDescent="0.2">
      <c r="B15" s="109" t="s">
        <v>220</v>
      </c>
      <c r="C15" s="330">
        <v>1.849</v>
      </c>
      <c r="D15" s="330">
        <v>234.13900000000001</v>
      </c>
      <c r="E15" s="127">
        <v>10.470879968967349</v>
      </c>
      <c r="F15" s="330">
        <v>1.39</v>
      </c>
      <c r="G15" s="330">
        <v>181.97</v>
      </c>
      <c r="H15" s="127">
        <v>8.5063506133022493</v>
      </c>
      <c r="I15" s="330">
        <v>2.4590000000000001</v>
      </c>
      <c r="J15" s="330">
        <v>90.950999999999993</v>
      </c>
      <c r="K15" s="127">
        <v>9.74702322481353</v>
      </c>
      <c r="L15" s="330">
        <v>2.7959999999999998</v>
      </c>
      <c r="M15" s="330">
        <v>79.05</v>
      </c>
      <c r="N15" s="127">
        <v>12.461431626066044</v>
      </c>
      <c r="O15" s="330">
        <v>2.4590000000000001</v>
      </c>
      <c r="P15" s="330">
        <v>70.320999999999998</v>
      </c>
      <c r="Q15" s="127">
        <v>12.889646880504854</v>
      </c>
      <c r="R15" s="330">
        <v>2.7959999999999998</v>
      </c>
      <c r="S15" s="330">
        <v>46.253999999999998</v>
      </c>
      <c r="T15" s="127">
        <v>12.761822131997912</v>
      </c>
      <c r="U15" s="330">
        <v>8.7650000000000006</v>
      </c>
      <c r="V15" s="330">
        <v>59.664000000000001</v>
      </c>
      <c r="W15" s="127">
        <v>14.784604550898596</v>
      </c>
      <c r="X15" s="330">
        <v>4.4569999999999999</v>
      </c>
      <c r="Y15" s="330">
        <v>66.531999999999996</v>
      </c>
      <c r="Z15" s="127">
        <v>15.333125857612021</v>
      </c>
      <c r="AA15" s="330">
        <v>5.5209999999999999</v>
      </c>
      <c r="AB15" s="330">
        <v>84.376999999999995</v>
      </c>
      <c r="AC15" s="127">
        <v>10.851556155251719</v>
      </c>
      <c r="AD15" s="330">
        <v>4.7359999999999998</v>
      </c>
      <c r="AE15" s="330">
        <v>76.179000000000002</v>
      </c>
      <c r="AF15" s="127">
        <v>9.4577022267660382</v>
      </c>
      <c r="AG15" s="330">
        <v>5.7380000000000004</v>
      </c>
      <c r="AH15" s="330">
        <v>64.983000000000004</v>
      </c>
      <c r="AI15" s="127">
        <v>10.985634560210352</v>
      </c>
    </row>
    <row r="16" spans="2:35" ht="15" customHeight="1" x14ac:dyDescent="0.2">
      <c r="B16" s="113" t="s">
        <v>221</v>
      </c>
      <c r="C16" s="331">
        <v>1.369</v>
      </c>
      <c r="D16" s="331">
        <v>507.947</v>
      </c>
      <c r="E16" s="128">
        <v>15.014673325312135</v>
      </c>
      <c r="F16" s="331">
        <v>1.2549999999999999</v>
      </c>
      <c r="G16" s="331">
        <v>318.09699999999998</v>
      </c>
      <c r="H16" s="128">
        <v>16.874437957012589</v>
      </c>
      <c r="I16" s="331">
        <v>1.4850000000000001</v>
      </c>
      <c r="J16" s="331">
        <v>164.80199999999999</v>
      </c>
      <c r="K16" s="128">
        <v>12.979091535578032</v>
      </c>
      <c r="L16" s="331">
        <v>2.3130000000000002</v>
      </c>
      <c r="M16" s="331">
        <v>138.44200000000001</v>
      </c>
      <c r="N16" s="128">
        <v>16.972345071664773</v>
      </c>
      <c r="O16" s="331">
        <v>1.4850000000000001</v>
      </c>
      <c r="P16" s="331">
        <v>115.509</v>
      </c>
      <c r="Q16" s="128">
        <v>14.492846550966467</v>
      </c>
      <c r="R16" s="331">
        <v>2.3130000000000002</v>
      </c>
      <c r="S16" s="331">
        <v>80.516000000000005</v>
      </c>
      <c r="T16" s="128">
        <v>19.75678579803207</v>
      </c>
      <c r="U16" s="331">
        <v>10.483000000000001</v>
      </c>
      <c r="V16" s="331">
        <v>95.977000000000004</v>
      </c>
      <c r="W16" s="128">
        <v>20.243535078125554</v>
      </c>
      <c r="X16" s="331">
        <v>3.7050000000000001</v>
      </c>
      <c r="Y16" s="331">
        <v>142.11799999999999</v>
      </c>
      <c r="Z16" s="128">
        <v>23.248636557596878</v>
      </c>
      <c r="AA16" s="331">
        <v>6.149</v>
      </c>
      <c r="AB16" s="331">
        <v>122.502</v>
      </c>
      <c r="AC16" s="128">
        <v>10.950798149416196</v>
      </c>
      <c r="AD16" s="331">
        <v>3.907</v>
      </c>
      <c r="AE16" s="331">
        <v>127.247</v>
      </c>
      <c r="AF16" s="128">
        <v>12.421788371917458</v>
      </c>
      <c r="AG16" s="331">
        <v>5.9390000000000001</v>
      </c>
      <c r="AH16" s="331">
        <v>96.941000000000003</v>
      </c>
      <c r="AI16" s="128">
        <v>18.864593949424538</v>
      </c>
    </row>
    <row r="17" spans="2:35" ht="15" customHeight="1" x14ac:dyDescent="0.2">
      <c r="B17" s="118" t="s">
        <v>80</v>
      </c>
      <c r="C17" s="125">
        <v>72</v>
      </c>
      <c r="D17" s="125">
        <v>2611.1080000000002</v>
      </c>
      <c r="E17" s="126">
        <v>7.2121093404836918</v>
      </c>
      <c r="F17" s="125">
        <v>46.368000000000002</v>
      </c>
      <c r="G17" s="125">
        <v>2186.9929999999999</v>
      </c>
      <c r="H17" s="126">
        <v>6.16520388263804</v>
      </c>
      <c r="I17" s="125">
        <v>78.751000000000005</v>
      </c>
      <c r="J17" s="125">
        <v>1201.29</v>
      </c>
      <c r="K17" s="126">
        <v>5.9309185660954453</v>
      </c>
      <c r="L17" s="125">
        <v>74.778000000000006</v>
      </c>
      <c r="M17" s="125">
        <v>1098.886</v>
      </c>
      <c r="N17" s="126">
        <v>7.4954336758757156</v>
      </c>
      <c r="O17" s="125">
        <v>78.751000000000005</v>
      </c>
      <c r="P17" s="125">
        <v>1000.0890000000001</v>
      </c>
      <c r="Q17" s="126">
        <v>6.9912263023612926</v>
      </c>
      <c r="R17" s="125">
        <v>74.778000000000006</v>
      </c>
      <c r="S17" s="125">
        <v>878.08500000000004</v>
      </c>
      <c r="T17" s="126">
        <v>5.5412245829283755</v>
      </c>
      <c r="U17" s="125">
        <v>193.01599999999999</v>
      </c>
      <c r="V17" s="125">
        <v>1167.0630000000001</v>
      </c>
      <c r="W17" s="126">
        <v>5.482985874551817</v>
      </c>
      <c r="X17" s="125">
        <v>127.233</v>
      </c>
      <c r="Y17" s="125">
        <v>1167.4290000000001</v>
      </c>
      <c r="Z17" s="126">
        <v>6.7523126796733335</v>
      </c>
      <c r="AA17" s="125">
        <v>133.34200000000001</v>
      </c>
      <c r="AB17" s="125">
        <v>1254.0250000000001</v>
      </c>
      <c r="AC17" s="126">
        <v>5.3710215358542355</v>
      </c>
      <c r="AD17" s="125">
        <v>161.45599999999999</v>
      </c>
      <c r="AE17" s="125">
        <v>1199.1679999999999</v>
      </c>
      <c r="AF17" s="126">
        <v>5.0614004957336416</v>
      </c>
      <c r="AG17" s="125">
        <v>156.49700000000001</v>
      </c>
      <c r="AH17" s="125">
        <v>1288.5909999999999</v>
      </c>
      <c r="AI17" s="126">
        <v>5.2217546866884801</v>
      </c>
    </row>
    <row r="20" spans="2:35" ht="15" customHeight="1" x14ac:dyDescent="0.2">
      <c r="B20" s="1139" t="s">
        <v>358</v>
      </c>
      <c r="C20" s="1141" t="s">
        <v>332</v>
      </c>
      <c r="D20" s="1141"/>
      <c r="E20" s="1141"/>
      <c r="F20" s="1141" t="s">
        <v>222</v>
      </c>
      <c r="G20" s="1141"/>
      <c r="H20" s="1133"/>
    </row>
    <row r="21" spans="2:35" ht="15" customHeight="1" x14ac:dyDescent="0.2">
      <c r="B21" s="1140"/>
      <c r="C21" s="325" t="s">
        <v>78</v>
      </c>
      <c r="D21" s="1137" t="s">
        <v>79</v>
      </c>
      <c r="E21" s="1137"/>
      <c r="F21" s="325" t="s">
        <v>78</v>
      </c>
      <c r="G21" s="1137" t="s">
        <v>79</v>
      </c>
      <c r="H21" s="1127"/>
    </row>
    <row r="22" spans="2:35" ht="30" customHeight="1" x14ac:dyDescent="0.2">
      <c r="B22" s="1140"/>
      <c r="C22" s="1138" t="s">
        <v>326</v>
      </c>
      <c r="D22" s="1138"/>
      <c r="E22" s="16" t="s">
        <v>82</v>
      </c>
      <c r="F22" s="1138" t="s">
        <v>326</v>
      </c>
      <c r="G22" s="1138"/>
      <c r="H22" s="17" t="s">
        <v>82</v>
      </c>
    </row>
    <row r="23" spans="2:35" ht="15" customHeight="1" x14ac:dyDescent="0.2">
      <c r="B23" s="144" t="str">
        <f>Index!$B$4</f>
        <v>England</v>
      </c>
      <c r="C23" s="121"/>
      <c r="D23" s="122"/>
      <c r="E23" s="123"/>
      <c r="F23" s="124"/>
      <c r="G23" s="122"/>
      <c r="H23" s="123"/>
    </row>
    <row r="24" spans="2:35" ht="15" customHeight="1" x14ac:dyDescent="0.2">
      <c r="B24" s="109" t="s">
        <v>214</v>
      </c>
      <c r="C24" s="330">
        <v>28.030999999999999</v>
      </c>
      <c r="D24" s="330">
        <v>245.40899999999999</v>
      </c>
      <c r="E24" s="127">
        <v>5.472028696060045</v>
      </c>
      <c r="F24" s="330">
        <v>14.754</v>
      </c>
      <c r="G24" s="330">
        <v>239.34299999999999</v>
      </c>
      <c r="H24" s="901">
        <v>4.3152435585345854</v>
      </c>
    </row>
    <row r="25" spans="2:35" ht="15" customHeight="1" x14ac:dyDescent="0.2">
      <c r="B25" s="109" t="s">
        <v>215</v>
      </c>
      <c r="C25" s="330">
        <v>5.2510000000000003</v>
      </c>
      <c r="D25" s="330">
        <v>81.436999999999998</v>
      </c>
      <c r="E25" s="127">
        <v>5.9892604390794375</v>
      </c>
      <c r="F25" s="330">
        <v>2.8839999999999999</v>
      </c>
      <c r="G25" s="330">
        <v>69.230999999999995</v>
      </c>
      <c r="H25" s="901">
        <v>5.4665952120338108</v>
      </c>
    </row>
    <row r="26" spans="2:35" ht="15" customHeight="1" x14ac:dyDescent="0.2">
      <c r="B26" s="109" t="s">
        <v>216</v>
      </c>
      <c r="C26" s="330">
        <v>4.9009999999999998</v>
      </c>
      <c r="D26" s="330">
        <v>97.221000000000004</v>
      </c>
      <c r="E26" s="127">
        <v>6.0944332608730747</v>
      </c>
      <c r="F26" s="330">
        <v>3.0419999999999998</v>
      </c>
      <c r="G26" s="330">
        <v>82.739000000000004</v>
      </c>
      <c r="H26" s="901">
        <v>5.6137060425889374</v>
      </c>
    </row>
    <row r="27" spans="2:35" ht="15" customHeight="1" x14ac:dyDescent="0.2">
      <c r="B27" s="109" t="s">
        <v>217</v>
      </c>
      <c r="C27" s="330">
        <v>13.411</v>
      </c>
      <c r="D27" s="330">
        <v>380.19299999999998</v>
      </c>
      <c r="E27" s="127">
        <v>5.7229641745050648</v>
      </c>
      <c r="F27" s="330">
        <v>9.5660000000000007</v>
      </c>
      <c r="G27" s="330">
        <v>336.54199999999997</v>
      </c>
      <c r="H27" s="901">
        <v>5.3850461251100077</v>
      </c>
    </row>
    <row r="28" spans="2:35" ht="15" customHeight="1" x14ac:dyDescent="0.2">
      <c r="B28" s="109" t="s">
        <v>218</v>
      </c>
      <c r="C28" s="330">
        <v>12.46</v>
      </c>
      <c r="D28" s="330">
        <v>641.58600000000001</v>
      </c>
      <c r="E28" s="127">
        <v>6.6281424869453707</v>
      </c>
      <c r="F28" s="330">
        <v>9.8970000000000002</v>
      </c>
      <c r="G28" s="330">
        <v>602.39700000000005</v>
      </c>
      <c r="H28" s="901">
        <v>6.3632059404802295</v>
      </c>
    </row>
    <row r="29" spans="2:35" ht="15" customHeight="1" x14ac:dyDescent="0.2">
      <c r="B29" s="109" t="s">
        <v>219</v>
      </c>
      <c r="C29" s="330">
        <v>4.51</v>
      </c>
      <c r="D29" s="330">
        <v>422.20800000000003</v>
      </c>
      <c r="E29" s="127">
        <v>9.2148759738053432</v>
      </c>
      <c r="F29" s="330">
        <v>3.58</v>
      </c>
      <c r="G29" s="330">
        <v>355.18400000000003</v>
      </c>
      <c r="H29" s="901">
        <v>7.7552830133675394</v>
      </c>
    </row>
    <row r="30" spans="2:35" ht="15" customHeight="1" x14ac:dyDescent="0.2">
      <c r="B30" s="109" t="s">
        <v>220</v>
      </c>
      <c r="C30" s="330">
        <v>1.849</v>
      </c>
      <c r="D30" s="330">
        <v>234.13900000000001</v>
      </c>
      <c r="E30" s="127">
        <v>10.470879968967349</v>
      </c>
      <c r="F30" s="330">
        <v>1.39</v>
      </c>
      <c r="G30" s="330">
        <v>181.97</v>
      </c>
      <c r="H30" s="901">
        <v>8.5063506133022493</v>
      </c>
    </row>
    <row r="31" spans="2:35" ht="15" customHeight="1" x14ac:dyDescent="0.2">
      <c r="B31" s="113" t="s">
        <v>221</v>
      </c>
      <c r="C31" s="331">
        <v>1.369</v>
      </c>
      <c r="D31" s="331">
        <v>507.947</v>
      </c>
      <c r="E31" s="128">
        <v>15.014673325312135</v>
      </c>
      <c r="F31" s="331">
        <v>1.2549999999999999</v>
      </c>
      <c r="G31" s="331">
        <v>318.09699999999998</v>
      </c>
      <c r="H31" s="902">
        <v>16.874437957012589</v>
      </c>
    </row>
    <row r="32" spans="2:35" ht="15" customHeight="1" x14ac:dyDescent="0.2">
      <c r="B32" s="118" t="s">
        <v>80</v>
      </c>
      <c r="C32" s="125">
        <v>72</v>
      </c>
      <c r="D32" s="125">
        <v>2611.1080000000002</v>
      </c>
      <c r="E32" s="126">
        <v>7.2121093404836918</v>
      </c>
      <c r="F32" s="125">
        <v>46.368000000000002</v>
      </c>
      <c r="G32" s="125">
        <v>2186.9929999999999</v>
      </c>
      <c r="H32" s="903">
        <v>6.16520388263804</v>
      </c>
    </row>
    <row r="35" spans="2:8" ht="15" customHeight="1" x14ac:dyDescent="0.2">
      <c r="B35" s="1139" t="s">
        <v>358</v>
      </c>
      <c r="C35" s="1141" t="s">
        <v>225</v>
      </c>
      <c r="D35" s="1141"/>
      <c r="E35" s="1141"/>
      <c r="F35" s="1141" t="s">
        <v>226</v>
      </c>
      <c r="G35" s="1141"/>
      <c r="H35" s="1133"/>
    </row>
    <row r="36" spans="2:8" ht="15" customHeight="1" x14ac:dyDescent="0.2">
      <c r="B36" s="1140"/>
      <c r="C36" s="325" t="s">
        <v>78</v>
      </c>
      <c r="D36" s="1137" t="s">
        <v>79</v>
      </c>
      <c r="E36" s="1137"/>
      <c r="F36" s="325" t="s">
        <v>78</v>
      </c>
      <c r="G36" s="1137" t="s">
        <v>79</v>
      </c>
      <c r="H36" s="1127"/>
    </row>
    <row r="37" spans="2:8" ht="30" customHeight="1" x14ac:dyDescent="0.2">
      <c r="B37" s="1140"/>
      <c r="C37" s="1138" t="s">
        <v>326</v>
      </c>
      <c r="D37" s="1138"/>
      <c r="E37" s="16" t="s">
        <v>82</v>
      </c>
      <c r="F37" s="1138" t="s">
        <v>326</v>
      </c>
      <c r="G37" s="1138"/>
      <c r="H37" s="17" t="s">
        <v>82</v>
      </c>
    </row>
    <row r="38" spans="2:8" ht="15" customHeight="1" x14ac:dyDescent="0.2">
      <c r="B38" s="144" t="str">
        <f>Index!$B$4</f>
        <v>England</v>
      </c>
      <c r="C38" s="124"/>
      <c r="D38" s="122"/>
      <c r="E38" s="123"/>
      <c r="F38" s="124"/>
      <c r="G38" s="122"/>
      <c r="H38" s="123"/>
    </row>
    <row r="39" spans="2:8" ht="15" customHeight="1" x14ac:dyDescent="0.2">
      <c r="B39" s="109" t="s">
        <v>214</v>
      </c>
      <c r="C39" s="330">
        <v>23.207999999999998</v>
      </c>
      <c r="D39" s="330">
        <v>222.37700000000001</v>
      </c>
      <c r="E39" s="127">
        <v>4.9523174640337997</v>
      </c>
      <c r="F39" s="330">
        <v>18.285</v>
      </c>
      <c r="G39" s="330">
        <v>245.77199999999999</v>
      </c>
      <c r="H39" s="901">
        <v>3.5872438887455345</v>
      </c>
    </row>
    <row r="40" spans="2:8" ht="15" customHeight="1" x14ac:dyDescent="0.2">
      <c r="B40" s="109" t="s">
        <v>215</v>
      </c>
      <c r="C40" s="330">
        <v>5.6269999999999998</v>
      </c>
      <c r="D40" s="330">
        <v>43.826000000000001</v>
      </c>
      <c r="E40" s="127">
        <v>6.6268101148737948</v>
      </c>
      <c r="F40" s="330">
        <v>4.431</v>
      </c>
      <c r="G40" s="330">
        <v>37.232999999999997</v>
      </c>
      <c r="H40" s="901">
        <v>6.4542083217046935</v>
      </c>
    </row>
    <row r="41" spans="2:8" ht="15" customHeight="1" x14ac:dyDescent="0.2">
      <c r="B41" s="109" t="s">
        <v>216</v>
      </c>
      <c r="C41" s="330">
        <v>5.5279999999999996</v>
      </c>
      <c r="D41" s="330">
        <v>45.612000000000002</v>
      </c>
      <c r="E41" s="127">
        <v>6.9360913938644586</v>
      </c>
      <c r="F41" s="330">
        <v>4.7240000000000002</v>
      </c>
      <c r="G41" s="330">
        <v>40.106999999999999</v>
      </c>
      <c r="H41" s="901">
        <v>7.8957723740893462</v>
      </c>
    </row>
    <row r="42" spans="2:8" ht="15" customHeight="1" x14ac:dyDescent="0.2">
      <c r="B42" s="109" t="s">
        <v>217</v>
      </c>
      <c r="C42" s="330">
        <v>16.571000000000002</v>
      </c>
      <c r="D42" s="330">
        <v>172.28399999999999</v>
      </c>
      <c r="E42" s="127">
        <v>6.6363162193703626</v>
      </c>
      <c r="F42" s="330">
        <v>16.283999999999999</v>
      </c>
      <c r="G42" s="330">
        <v>147.709</v>
      </c>
      <c r="H42" s="901">
        <v>9.1142696984735192</v>
      </c>
    </row>
    <row r="43" spans="2:8" ht="15" customHeight="1" x14ac:dyDescent="0.2">
      <c r="B43" s="109" t="s">
        <v>218</v>
      </c>
      <c r="C43" s="330">
        <v>17.585000000000001</v>
      </c>
      <c r="D43" s="330">
        <v>287.072</v>
      </c>
      <c r="E43" s="127">
        <v>7.2415290839352409</v>
      </c>
      <c r="F43" s="330">
        <v>18.968</v>
      </c>
      <c r="G43" s="330">
        <v>256.541</v>
      </c>
      <c r="H43" s="901">
        <v>11.113246035545489</v>
      </c>
    </row>
    <row r="44" spans="2:8" ht="15" customHeight="1" x14ac:dyDescent="0.2">
      <c r="B44" s="109" t="s">
        <v>219</v>
      </c>
      <c r="C44" s="330">
        <v>6.2939999999999996</v>
      </c>
      <c r="D44" s="330">
        <v>172.821</v>
      </c>
      <c r="E44" s="127">
        <v>8.6666723424314895</v>
      </c>
      <c r="F44" s="330">
        <v>6.9770000000000003</v>
      </c>
      <c r="G44" s="330">
        <v>153.61699999999999</v>
      </c>
      <c r="H44" s="901">
        <v>11.462390139605752</v>
      </c>
    </row>
    <row r="45" spans="2:8" ht="15" customHeight="1" x14ac:dyDescent="0.2">
      <c r="B45" s="109" t="s">
        <v>220</v>
      </c>
      <c r="C45" s="330">
        <v>2.4590000000000001</v>
      </c>
      <c r="D45" s="330">
        <v>90.950999999999993</v>
      </c>
      <c r="E45" s="127">
        <v>9.74702322481353</v>
      </c>
      <c r="F45" s="330">
        <v>2.7959999999999998</v>
      </c>
      <c r="G45" s="330">
        <v>79.05</v>
      </c>
      <c r="H45" s="901">
        <v>12.461431626066044</v>
      </c>
    </row>
    <row r="46" spans="2:8" ht="15" customHeight="1" x14ac:dyDescent="0.2">
      <c r="B46" s="113" t="s">
        <v>221</v>
      </c>
      <c r="C46" s="331">
        <v>1.4850000000000001</v>
      </c>
      <c r="D46" s="331">
        <v>164.80199999999999</v>
      </c>
      <c r="E46" s="128">
        <v>12.979091535578032</v>
      </c>
      <c r="F46" s="331">
        <v>2.3130000000000002</v>
      </c>
      <c r="G46" s="331">
        <v>138.44200000000001</v>
      </c>
      <c r="H46" s="902">
        <v>16.972345071664773</v>
      </c>
    </row>
    <row r="47" spans="2:8" ht="15" customHeight="1" x14ac:dyDescent="0.2">
      <c r="B47" s="118" t="s">
        <v>80</v>
      </c>
      <c r="C47" s="125">
        <v>78.751000000000005</v>
      </c>
      <c r="D47" s="125">
        <v>1201.29</v>
      </c>
      <c r="E47" s="126">
        <v>5.9309185660954453</v>
      </c>
      <c r="F47" s="125">
        <v>74.778000000000006</v>
      </c>
      <c r="G47" s="125">
        <v>1098.886</v>
      </c>
      <c r="H47" s="903">
        <v>7.4954336758757156</v>
      </c>
    </row>
    <row r="50" spans="2:8" ht="15" customHeight="1" x14ac:dyDescent="0.2">
      <c r="B50" s="1139" t="s">
        <v>358</v>
      </c>
      <c r="C50" s="1141" t="s">
        <v>227</v>
      </c>
      <c r="D50" s="1141"/>
      <c r="E50" s="1141"/>
      <c r="F50" s="1141" t="s">
        <v>228</v>
      </c>
      <c r="G50" s="1141"/>
      <c r="H50" s="1133"/>
    </row>
    <row r="51" spans="2:8" ht="15" customHeight="1" x14ac:dyDescent="0.2">
      <c r="B51" s="1140"/>
      <c r="C51" s="325" t="s">
        <v>78</v>
      </c>
      <c r="D51" s="1137" t="s">
        <v>79</v>
      </c>
      <c r="E51" s="1137"/>
      <c r="F51" s="325" t="s">
        <v>78</v>
      </c>
      <c r="G51" s="1137" t="s">
        <v>79</v>
      </c>
      <c r="H51" s="1127"/>
    </row>
    <row r="52" spans="2:8" ht="30" customHeight="1" x14ac:dyDescent="0.2">
      <c r="B52" s="1140"/>
      <c r="C52" s="1138" t="s">
        <v>326</v>
      </c>
      <c r="D52" s="1138"/>
      <c r="E52" s="16" t="s">
        <v>82</v>
      </c>
      <c r="F52" s="1138" t="s">
        <v>326</v>
      </c>
      <c r="G52" s="1138"/>
      <c r="H52" s="17" t="s">
        <v>82</v>
      </c>
    </row>
    <row r="53" spans="2:8" ht="15" customHeight="1" x14ac:dyDescent="0.2">
      <c r="B53" s="144" t="str">
        <f>Index!$B$4</f>
        <v>England</v>
      </c>
      <c r="C53" s="124"/>
      <c r="D53" s="122"/>
      <c r="E53" s="123"/>
      <c r="F53" s="124"/>
      <c r="G53" s="122"/>
      <c r="H53" s="123"/>
    </row>
    <row r="54" spans="2:8" ht="15" customHeight="1" x14ac:dyDescent="0.2">
      <c r="B54" s="109" t="s">
        <v>214</v>
      </c>
      <c r="C54" s="330">
        <v>23.207999999999998</v>
      </c>
      <c r="D54" s="330">
        <v>296.36500000000001</v>
      </c>
      <c r="E54" s="127">
        <v>3.6539608545962721</v>
      </c>
      <c r="F54" s="330">
        <v>18.285</v>
      </c>
      <c r="G54" s="330">
        <v>321.66000000000003</v>
      </c>
      <c r="H54" s="901">
        <v>3.4759425905810879</v>
      </c>
    </row>
    <row r="55" spans="2:8" ht="15" customHeight="1" x14ac:dyDescent="0.2">
      <c r="B55" s="109" t="s">
        <v>215</v>
      </c>
      <c r="C55" s="330">
        <v>5.6269999999999998</v>
      </c>
      <c r="D55" s="330">
        <v>40.622999999999998</v>
      </c>
      <c r="E55" s="127">
        <v>5.6784051238735334</v>
      </c>
      <c r="F55" s="330">
        <v>4.431</v>
      </c>
      <c r="G55" s="330">
        <v>48.387</v>
      </c>
      <c r="H55" s="901">
        <v>4.0609287565847758</v>
      </c>
    </row>
    <row r="56" spans="2:8" ht="15" customHeight="1" x14ac:dyDescent="0.2">
      <c r="B56" s="109" t="s">
        <v>216</v>
      </c>
      <c r="C56" s="330">
        <v>5.5279999999999996</v>
      </c>
      <c r="D56" s="330">
        <v>36.44</v>
      </c>
      <c r="E56" s="127">
        <v>7.5044148894713194</v>
      </c>
      <c r="F56" s="330">
        <v>4.7240000000000002</v>
      </c>
      <c r="G56" s="330">
        <v>41.951000000000001</v>
      </c>
      <c r="H56" s="901">
        <v>4.7637005168386199</v>
      </c>
    </row>
    <row r="57" spans="2:8" ht="15" customHeight="1" x14ac:dyDescent="0.2">
      <c r="B57" s="109" t="s">
        <v>217</v>
      </c>
      <c r="C57" s="330">
        <v>16.571000000000002</v>
      </c>
      <c r="D57" s="330">
        <v>118.354</v>
      </c>
      <c r="E57" s="127">
        <v>11.523138708441728</v>
      </c>
      <c r="F57" s="330">
        <v>16.283999999999999</v>
      </c>
      <c r="G57" s="330">
        <v>112.71</v>
      </c>
      <c r="H57" s="901">
        <v>5.6883997041868186</v>
      </c>
    </row>
    <row r="58" spans="2:8" ht="15" customHeight="1" x14ac:dyDescent="0.2">
      <c r="B58" s="109" t="s">
        <v>218</v>
      </c>
      <c r="C58" s="330">
        <v>17.585000000000001</v>
      </c>
      <c r="D58" s="330">
        <v>196.87</v>
      </c>
      <c r="E58" s="127">
        <v>11.688781495540221</v>
      </c>
      <c r="F58" s="330">
        <v>18.968</v>
      </c>
      <c r="G58" s="330">
        <v>140.99</v>
      </c>
      <c r="H58" s="901">
        <v>8.5432094457883263</v>
      </c>
    </row>
    <row r="59" spans="2:8" ht="15" customHeight="1" x14ac:dyDescent="0.2">
      <c r="B59" s="109" t="s">
        <v>219</v>
      </c>
      <c r="C59" s="330">
        <v>6.2939999999999996</v>
      </c>
      <c r="D59" s="330">
        <v>125.604</v>
      </c>
      <c r="E59" s="127">
        <v>11.376216445767623</v>
      </c>
      <c r="F59" s="330">
        <v>6.9770000000000003</v>
      </c>
      <c r="G59" s="330">
        <v>85.617999999999995</v>
      </c>
      <c r="H59" s="901">
        <v>11.520057760892703</v>
      </c>
    </row>
    <row r="60" spans="2:8" ht="15" customHeight="1" x14ac:dyDescent="0.2">
      <c r="B60" s="109" t="s">
        <v>220</v>
      </c>
      <c r="C60" s="330">
        <v>2.4590000000000001</v>
      </c>
      <c r="D60" s="330">
        <v>70.320999999999998</v>
      </c>
      <c r="E60" s="127">
        <v>12.889646880504854</v>
      </c>
      <c r="F60" s="330">
        <v>2.7959999999999998</v>
      </c>
      <c r="G60" s="330">
        <v>46.253999999999998</v>
      </c>
      <c r="H60" s="901">
        <v>12.761822131997912</v>
      </c>
    </row>
    <row r="61" spans="2:8" ht="15" customHeight="1" x14ac:dyDescent="0.2">
      <c r="B61" s="113" t="s">
        <v>221</v>
      </c>
      <c r="C61" s="331">
        <v>1.4850000000000001</v>
      </c>
      <c r="D61" s="331">
        <v>115.509</v>
      </c>
      <c r="E61" s="128">
        <v>14.492846550966467</v>
      </c>
      <c r="F61" s="331">
        <v>2.3130000000000002</v>
      </c>
      <c r="G61" s="331">
        <v>80.516000000000005</v>
      </c>
      <c r="H61" s="902">
        <v>19.75678579803207</v>
      </c>
    </row>
    <row r="62" spans="2:8" ht="15" customHeight="1" x14ac:dyDescent="0.2">
      <c r="B62" s="118" t="s">
        <v>80</v>
      </c>
      <c r="C62" s="125">
        <v>78.751000000000005</v>
      </c>
      <c r="D62" s="125">
        <v>1000.0890000000001</v>
      </c>
      <c r="E62" s="126">
        <v>6.9912263023612926</v>
      </c>
      <c r="F62" s="125">
        <v>74.778000000000006</v>
      </c>
      <c r="G62" s="125">
        <v>878.08500000000004</v>
      </c>
      <c r="H62" s="903">
        <v>5.5412245829283755</v>
      </c>
    </row>
    <row r="65" spans="2:8" ht="15" customHeight="1" x14ac:dyDescent="0.2">
      <c r="B65" s="1139" t="s">
        <v>358</v>
      </c>
      <c r="C65" s="1141" t="s">
        <v>333</v>
      </c>
      <c r="D65" s="1141"/>
      <c r="E65" s="1141"/>
      <c r="F65" s="1141" t="s">
        <v>334</v>
      </c>
      <c r="G65" s="1141"/>
      <c r="H65" s="1133"/>
    </row>
    <row r="66" spans="2:8" ht="15" customHeight="1" x14ac:dyDescent="0.2">
      <c r="B66" s="1140"/>
      <c r="C66" s="325" t="s">
        <v>78</v>
      </c>
      <c r="D66" s="1137" t="s">
        <v>79</v>
      </c>
      <c r="E66" s="1137"/>
      <c r="F66" s="325" t="s">
        <v>78</v>
      </c>
      <c r="G66" s="1137" t="s">
        <v>79</v>
      </c>
      <c r="H66" s="1127"/>
    </row>
    <row r="67" spans="2:8" ht="30" customHeight="1" x14ac:dyDescent="0.2">
      <c r="B67" s="1140"/>
      <c r="C67" s="1138" t="s">
        <v>326</v>
      </c>
      <c r="D67" s="1138"/>
      <c r="E67" s="16" t="s">
        <v>82</v>
      </c>
      <c r="F67" s="1138" t="s">
        <v>326</v>
      </c>
      <c r="G67" s="1138"/>
      <c r="H67" s="17" t="s">
        <v>82</v>
      </c>
    </row>
    <row r="68" spans="2:8" ht="15" customHeight="1" x14ac:dyDescent="0.2">
      <c r="B68" s="144" t="str">
        <f>Index!$B$4</f>
        <v>England</v>
      </c>
      <c r="C68" s="124"/>
      <c r="D68" s="122"/>
      <c r="E68" s="123"/>
      <c r="F68" s="124"/>
      <c r="G68" s="122"/>
      <c r="H68" s="123"/>
    </row>
    <row r="69" spans="2:8" ht="15" customHeight="1" x14ac:dyDescent="0.2">
      <c r="B69" s="109" t="s">
        <v>214</v>
      </c>
      <c r="C69" s="330">
        <v>46.185000000000002</v>
      </c>
      <c r="D69" s="330">
        <v>335.29199999999997</v>
      </c>
      <c r="E69" s="127">
        <v>3.2705481961857714</v>
      </c>
      <c r="F69" s="330">
        <v>37.338000000000001</v>
      </c>
      <c r="G69" s="330">
        <v>289.93599999999998</v>
      </c>
      <c r="H69" s="901">
        <v>3.399168077676836</v>
      </c>
    </row>
    <row r="70" spans="2:8" ht="15" customHeight="1" x14ac:dyDescent="0.2">
      <c r="B70" s="109" t="s">
        <v>215</v>
      </c>
      <c r="C70" s="330">
        <v>14.59</v>
      </c>
      <c r="D70" s="330">
        <v>74.162000000000006</v>
      </c>
      <c r="E70" s="127">
        <v>3.5681060672724514</v>
      </c>
      <c r="F70" s="330">
        <v>8.8040000000000003</v>
      </c>
      <c r="G70" s="330">
        <v>68.361999999999995</v>
      </c>
      <c r="H70" s="901">
        <v>3.736914742205498</v>
      </c>
    </row>
    <row r="71" spans="2:8" ht="15" customHeight="1" x14ac:dyDescent="0.2">
      <c r="B71" s="109" t="s">
        <v>216</v>
      </c>
      <c r="C71" s="330">
        <v>14.55</v>
      </c>
      <c r="D71" s="330">
        <v>75.305999999999997</v>
      </c>
      <c r="E71" s="127">
        <v>3.8259958263484828</v>
      </c>
      <c r="F71" s="330">
        <v>8.8450000000000006</v>
      </c>
      <c r="G71" s="330">
        <v>71.16</v>
      </c>
      <c r="H71" s="901">
        <v>4.1626797608043207</v>
      </c>
    </row>
    <row r="72" spans="2:8" ht="15" customHeight="1" x14ac:dyDescent="0.2">
      <c r="B72" s="109" t="s">
        <v>217</v>
      </c>
      <c r="C72" s="330">
        <v>40.140999999999998</v>
      </c>
      <c r="D72" s="330">
        <v>214.684</v>
      </c>
      <c r="E72" s="127">
        <v>4.3181811105335166</v>
      </c>
      <c r="F72" s="330">
        <v>26.288</v>
      </c>
      <c r="G72" s="330">
        <v>211.298</v>
      </c>
      <c r="H72" s="901">
        <v>4.6131946683102507</v>
      </c>
    </row>
    <row r="73" spans="2:8" ht="15" customHeight="1" x14ac:dyDescent="0.2">
      <c r="B73" s="109" t="s">
        <v>218</v>
      </c>
      <c r="C73" s="330">
        <v>40.618000000000002</v>
      </c>
      <c r="D73" s="330">
        <v>203.273</v>
      </c>
      <c r="E73" s="127">
        <v>8.7000841884682529</v>
      </c>
      <c r="F73" s="330">
        <v>27.323</v>
      </c>
      <c r="G73" s="330">
        <v>200.28200000000001</v>
      </c>
      <c r="H73" s="901">
        <v>8.2459654949458265</v>
      </c>
    </row>
    <row r="74" spans="2:8" ht="15" customHeight="1" x14ac:dyDescent="0.2">
      <c r="B74" s="109" t="s">
        <v>219</v>
      </c>
      <c r="C74" s="330">
        <v>17.684000000000001</v>
      </c>
      <c r="D74" s="330">
        <v>108.696</v>
      </c>
      <c r="E74" s="127">
        <v>12.99046068804963</v>
      </c>
      <c r="F74" s="330">
        <v>10.472</v>
      </c>
      <c r="G74" s="330">
        <v>117.738</v>
      </c>
      <c r="H74" s="901">
        <v>13.442826650949899</v>
      </c>
    </row>
    <row r="75" spans="2:8" ht="15" customHeight="1" x14ac:dyDescent="0.2">
      <c r="B75" s="109" t="s">
        <v>220</v>
      </c>
      <c r="C75" s="330">
        <v>8.7650000000000006</v>
      </c>
      <c r="D75" s="330">
        <v>59.664000000000001</v>
      </c>
      <c r="E75" s="127">
        <v>14.784604550898596</v>
      </c>
      <c r="F75" s="330">
        <v>4.4569999999999999</v>
      </c>
      <c r="G75" s="330">
        <v>66.531999999999996</v>
      </c>
      <c r="H75" s="901">
        <v>15.333125857612021</v>
      </c>
    </row>
    <row r="76" spans="2:8" ht="15" customHeight="1" x14ac:dyDescent="0.2">
      <c r="B76" s="113" t="s">
        <v>221</v>
      </c>
      <c r="C76" s="331">
        <v>10.483000000000001</v>
      </c>
      <c r="D76" s="331">
        <v>95.977000000000004</v>
      </c>
      <c r="E76" s="128">
        <v>20.243535078125554</v>
      </c>
      <c r="F76" s="331">
        <v>3.7050000000000001</v>
      </c>
      <c r="G76" s="331">
        <v>142.11799999999999</v>
      </c>
      <c r="H76" s="902">
        <v>23.248636557596878</v>
      </c>
    </row>
    <row r="77" spans="2:8" ht="15" customHeight="1" x14ac:dyDescent="0.2">
      <c r="B77" s="118" t="s">
        <v>80</v>
      </c>
      <c r="C77" s="125">
        <v>193.01599999999999</v>
      </c>
      <c r="D77" s="125">
        <v>1167.0630000000001</v>
      </c>
      <c r="E77" s="126">
        <v>5.482985874551817</v>
      </c>
      <c r="F77" s="125">
        <v>127.233</v>
      </c>
      <c r="G77" s="125">
        <v>1167.4290000000001</v>
      </c>
      <c r="H77" s="903">
        <v>6.7523126796733335</v>
      </c>
    </row>
    <row r="80" spans="2:8" ht="15" customHeight="1" x14ac:dyDescent="0.2">
      <c r="B80" s="1139" t="s">
        <v>358</v>
      </c>
      <c r="C80" s="1141" t="s">
        <v>231</v>
      </c>
      <c r="D80" s="1141"/>
      <c r="E80" s="1141"/>
      <c r="F80" s="1141" t="s">
        <v>232</v>
      </c>
      <c r="G80" s="1141"/>
      <c r="H80" s="1133"/>
    </row>
    <row r="81" spans="2:8" ht="15" customHeight="1" x14ac:dyDescent="0.2">
      <c r="B81" s="1140"/>
      <c r="C81" s="325" t="s">
        <v>78</v>
      </c>
      <c r="D81" s="1137" t="s">
        <v>79</v>
      </c>
      <c r="E81" s="1137"/>
      <c r="F81" s="325" t="s">
        <v>78</v>
      </c>
      <c r="G81" s="1137" t="s">
        <v>79</v>
      </c>
      <c r="H81" s="1127"/>
    </row>
    <row r="82" spans="2:8" ht="30" customHeight="1" x14ac:dyDescent="0.2">
      <c r="B82" s="1140"/>
      <c r="C82" s="1138" t="s">
        <v>326</v>
      </c>
      <c r="D82" s="1138"/>
      <c r="E82" s="16" t="s">
        <v>82</v>
      </c>
      <c r="F82" s="1138" t="s">
        <v>326</v>
      </c>
      <c r="G82" s="1138"/>
      <c r="H82" s="17" t="s">
        <v>82</v>
      </c>
    </row>
    <row r="83" spans="2:8" ht="15" customHeight="1" x14ac:dyDescent="0.2">
      <c r="B83" s="144" t="str">
        <f>Index!$B$4</f>
        <v>England</v>
      </c>
      <c r="C83" s="124"/>
      <c r="D83" s="122"/>
      <c r="E83" s="123"/>
      <c r="F83" s="124"/>
      <c r="G83" s="122"/>
      <c r="H83" s="123"/>
    </row>
    <row r="84" spans="2:8" ht="15" customHeight="1" x14ac:dyDescent="0.2">
      <c r="B84" s="109" t="s">
        <v>214</v>
      </c>
      <c r="C84" s="330">
        <v>43.784999999999997</v>
      </c>
      <c r="D84" s="330">
        <v>258.44</v>
      </c>
      <c r="E84" s="127">
        <v>3.5406074066108979</v>
      </c>
      <c r="F84" s="330">
        <v>52.08</v>
      </c>
      <c r="G84" s="330">
        <v>239.45699999999999</v>
      </c>
      <c r="H84" s="901">
        <v>3.7757666169094009</v>
      </c>
    </row>
    <row r="85" spans="2:8" ht="15" customHeight="1" x14ac:dyDescent="0.2">
      <c r="B85" s="109" t="s">
        <v>215</v>
      </c>
      <c r="C85" s="330">
        <v>10.238</v>
      </c>
      <c r="D85" s="330">
        <v>62.404000000000003</v>
      </c>
      <c r="E85" s="127">
        <v>3.7783832606499357</v>
      </c>
      <c r="F85" s="330">
        <v>14.327</v>
      </c>
      <c r="G85" s="330">
        <v>56.906999999999996</v>
      </c>
      <c r="H85" s="901">
        <v>3.9934704456046095</v>
      </c>
    </row>
    <row r="86" spans="2:8" ht="15" customHeight="1" x14ac:dyDescent="0.2">
      <c r="B86" s="109" t="s">
        <v>216</v>
      </c>
      <c r="C86" s="330">
        <v>9.3390000000000004</v>
      </c>
      <c r="D86" s="330">
        <v>66.971999999999994</v>
      </c>
      <c r="E86" s="127">
        <v>4.2499364185294368</v>
      </c>
      <c r="F86" s="330">
        <v>13.218999999999999</v>
      </c>
      <c r="G86" s="330">
        <v>61.098999999999997</v>
      </c>
      <c r="H86" s="901">
        <v>4.3256828498430755</v>
      </c>
    </row>
    <row r="87" spans="2:8" ht="15" customHeight="1" x14ac:dyDescent="0.2">
      <c r="B87" s="109" t="s">
        <v>217</v>
      </c>
      <c r="C87" s="330">
        <v>23.094999999999999</v>
      </c>
      <c r="D87" s="330">
        <v>215.66300000000001</v>
      </c>
      <c r="E87" s="127">
        <v>4.8815291173863793</v>
      </c>
      <c r="F87" s="330">
        <v>32.979999999999997</v>
      </c>
      <c r="G87" s="330">
        <v>199.791</v>
      </c>
      <c r="H87" s="901">
        <v>4.8970054704125383</v>
      </c>
    </row>
    <row r="88" spans="2:8" ht="15" customHeight="1" x14ac:dyDescent="0.2">
      <c r="B88" s="109" t="s">
        <v>218</v>
      </c>
      <c r="C88" s="330">
        <v>23.911999999999999</v>
      </c>
      <c r="D88" s="330">
        <v>281.92</v>
      </c>
      <c r="E88" s="127">
        <v>7.4109985582514506</v>
      </c>
      <c r="F88" s="330">
        <v>29.433</v>
      </c>
      <c r="G88" s="330">
        <v>280.601</v>
      </c>
      <c r="H88" s="901">
        <v>6.827839488000901</v>
      </c>
    </row>
    <row r="89" spans="2:8" ht="15" customHeight="1" x14ac:dyDescent="0.2">
      <c r="B89" s="109" t="s">
        <v>219</v>
      </c>
      <c r="C89" s="330">
        <v>11.307</v>
      </c>
      <c r="D89" s="330">
        <v>161.74100000000001</v>
      </c>
      <c r="E89" s="127">
        <v>9.3688890582607325</v>
      </c>
      <c r="F89" s="330">
        <v>10.776</v>
      </c>
      <c r="G89" s="330">
        <v>157.886</v>
      </c>
      <c r="H89" s="901">
        <v>7.9809367086968441</v>
      </c>
    </row>
    <row r="90" spans="2:8" ht="15" customHeight="1" x14ac:dyDescent="0.2">
      <c r="B90" s="109" t="s">
        <v>220</v>
      </c>
      <c r="C90" s="330">
        <v>5.5209999999999999</v>
      </c>
      <c r="D90" s="330">
        <v>84.376999999999995</v>
      </c>
      <c r="E90" s="127">
        <v>10.851556155251719</v>
      </c>
      <c r="F90" s="330">
        <v>4.7359999999999998</v>
      </c>
      <c r="G90" s="330">
        <v>76.179000000000002</v>
      </c>
      <c r="H90" s="901">
        <v>9.4577022267660382</v>
      </c>
    </row>
    <row r="91" spans="2:8" ht="15" customHeight="1" x14ac:dyDescent="0.2">
      <c r="B91" s="113" t="s">
        <v>221</v>
      </c>
      <c r="C91" s="331">
        <v>6.149</v>
      </c>
      <c r="D91" s="331">
        <v>122.502</v>
      </c>
      <c r="E91" s="128">
        <v>10.950798149416196</v>
      </c>
      <c r="F91" s="331">
        <v>3.907</v>
      </c>
      <c r="G91" s="331">
        <v>127.247</v>
      </c>
      <c r="H91" s="902">
        <v>12.421788371917458</v>
      </c>
    </row>
    <row r="92" spans="2:8" ht="15" customHeight="1" x14ac:dyDescent="0.2">
      <c r="B92" s="118" t="s">
        <v>80</v>
      </c>
      <c r="C92" s="125">
        <v>133.34200000000001</v>
      </c>
      <c r="D92" s="125">
        <v>1254.0250000000001</v>
      </c>
      <c r="E92" s="126">
        <v>5.3710215358542355</v>
      </c>
      <c r="F92" s="125">
        <v>161.45599999999999</v>
      </c>
      <c r="G92" s="125">
        <v>1199.1679999999999</v>
      </c>
      <c r="H92" s="903">
        <v>5.0614004957336416</v>
      </c>
    </row>
    <row r="95" spans="2:8" ht="15" customHeight="1" x14ac:dyDescent="0.2">
      <c r="B95" s="1139" t="s">
        <v>358</v>
      </c>
      <c r="C95" s="1141" t="s">
        <v>233</v>
      </c>
      <c r="D95" s="1141"/>
      <c r="E95" s="1133"/>
    </row>
    <row r="96" spans="2:8" ht="15" customHeight="1" x14ac:dyDescent="0.2">
      <c r="B96" s="1140"/>
      <c r="C96" s="325" t="s">
        <v>78</v>
      </c>
      <c r="D96" s="1137" t="s">
        <v>79</v>
      </c>
      <c r="E96" s="1127"/>
    </row>
    <row r="97" spans="2:5" ht="30" customHeight="1" x14ac:dyDescent="0.2">
      <c r="B97" s="1140"/>
      <c r="C97" s="1138" t="s">
        <v>326</v>
      </c>
      <c r="D97" s="1138"/>
      <c r="E97" s="17" t="s">
        <v>82</v>
      </c>
    </row>
    <row r="98" spans="2:5" ht="15" customHeight="1" x14ac:dyDescent="0.2">
      <c r="B98" s="144" t="str">
        <f>Index!$B$4</f>
        <v>England</v>
      </c>
      <c r="C98" s="124"/>
      <c r="D98" s="122"/>
      <c r="E98" s="123"/>
    </row>
    <row r="99" spans="2:5" ht="15" customHeight="1" x14ac:dyDescent="0.2">
      <c r="B99" s="109" t="s">
        <v>214</v>
      </c>
      <c r="C99" s="330">
        <v>49.482999999999997</v>
      </c>
      <c r="D99" s="330">
        <v>259.01600000000002</v>
      </c>
      <c r="E99" s="901">
        <v>3.5867762293409022</v>
      </c>
    </row>
    <row r="100" spans="2:5" ht="15" customHeight="1" x14ac:dyDescent="0.2">
      <c r="B100" s="109" t="s">
        <v>215</v>
      </c>
      <c r="C100" s="330">
        <v>12.616</v>
      </c>
      <c r="D100" s="330">
        <v>69.248999999999995</v>
      </c>
      <c r="E100" s="901">
        <v>4.4957865888922317</v>
      </c>
    </row>
    <row r="101" spans="2:5" ht="15" customHeight="1" x14ac:dyDescent="0.2">
      <c r="B101" s="109" t="s">
        <v>216</v>
      </c>
      <c r="C101" s="330">
        <v>11.816000000000001</v>
      </c>
      <c r="D101" s="330">
        <v>78.052000000000007</v>
      </c>
      <c r="E101" s="901">
        <v>4.8359903737586336</v>
      </c>
    </row>
    <row r="102" spans="2:5" ht="15" customHeight="1" x14ac:dyDescent="0.2">
      <c r="B102" s="109" t="s">
        <v>217</v>
      </c>
      <c r="C102" s="330">
        <v>29.690999999999999</v>
      </c>
      <c r="D102" s="330">
        <v>265.17500000000001</v>
      </c>
      <c r="E102" s="901">
        <v>5.2175600914579476</v>
      </c>
    </row>
    <row r="103" spans="2:5" ht="15" customHeight="1" x14ac:dyDescent="0.2">
      <c r="B103" s="109" t="s">
        <v>218</v>
      </c>
      <c r="C103" s="330">
        <v>28.762</v>
      </c>
      <c r="D103" s="330">
        <v>307.72199999999998</v>
      </c>
      <c r="E103" s="901">
        <v>7.1649692322856104</v>
      </c>
    </row>
    <row r="104" spans="2:5" ht="15" customHeight="1" x14ac:dyDescent="0.2">
      <c r="B104" s="109" t="s">
        <v>219</v>
      </c>
      <c r="C104" s="330">
        <v>12.452</v>
      </c>
      <c r="D104" s="330">
        <v>147.45599999999999</v>
      </c>
      <c r="E104" s="901">
        <v>8.964038146397014</v>
      </c>
    </row>
    <row r="105" spans="2:5" ht="15" customHeight="1" x14ac:dyDescent="0.2">
      <c r="B105" s="109" t="s">
        <v>220</v>
      </c>
      <c r="C105" s="330">
        <v>5.7380000000000004</v>
      </c>
      <c r="D105" s="330">
        <v>64.983000000000004</v>
      </c>
      <c r="E105" s="901">
        <v>10.985634560210352</v>
      </c>
    </row>
    <row r="106" spans="2:5" ht="15" customHeight="1" x14ac:dyDescent="0.2">
      <c r="B106" s="113" t="s">
        <v>221</v>
      </c>
      <c r="C106" s="331">
        <v>5.9390000000000001</v>
      </c>
      <c r="D106" s="331">
        <v>96.941000000000003</v>
      </c>
      <c r="E106" s="902">
        <v>18.864593949424538</v>
      </c>
    </row>
    <row r="107" spans="2:5" ht="15" customHeight="1" x14ac:dyDescent="0.2">
      <c r="B107" s="118" t="s">
        <v>80</v>
      </c>
      <c r="C107" s="125">
        <v>156.49700000000001</v>
      </c>
      <c r="D107" s="125">
        <v>1288.5909999999999</v>
      </c>
      <c r="E107" s="903">
        <v>5.2217546866884801</v>
      </c>
    </row>
  </sheetData>
  <mergeCells count="73">
    <mergeCell ref="X5:Z5"/>
    <mergeCell ref="AA5:AC5"/>
    <mergeCell ref="AD5:AF5"/>
    <mergeCell ref="Y6:Z6"/>
    <mergeCell ref="AB6:AC6"/>
    <mergeCell ref="AE6:AF6"/>
    <mergeCell ref="X7:Y7"/>
    <mergeCell ref="AA7:AB7"/>
    <mergeCell ref="AD7:AE7"/>
    <mergeCell ref="I7:J7"/>
    <mergeCell ref="L7:M7"/>
    <mergeCell ref="O7:P7"/>
    <mergeCell ref="R5:T5"/>
    <mergeCell ref="U5:W5"/>
    <mergeCell ref="R7:S7"/>
    <mergeCell ref="U7:V7"/>
    <mergeCell ref="S6:T6"/>
    <mergeCell ref="V6:W6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D21:E21"/>
    <mergeCell ref="G21:H21"/>
    <mergeCell ref="B20:B22"/>
    <mergeCell ref="C20:E20"/>
    <mergeCell ref="F20:H20"/>
    <mergeCell ref="C22:D22"/>
    <mergeCell ref="F22:G22"/>
    <mergeCell ref="B50:B52"/>
    <mergeCell ref="F37:G37"/>
    <mergeCell ref="C37:D37"/>
    <mergeCell ref="D36:E36"/>
    <mergeCell ref="G36:H36"/>
    <mergeCell ref="B35:B37"/>
    <mergeCell ref="F35:H35"/>
    <mergeCell ref="C35:E35"/>
    <mergeCell ref="C52:D52"/>
    <mergeCell ref="F52:G52"/>
    <mergeCell ref="G51:H51"/>
    <mergeCell ref="D51:E51"/>
    <mergeCell ref="C50:E50"/>
    <mergeCell ref="F50:H50"/>
    <mergeCell ref="G66:H66"/>
    <mergeCell ref="F67:G67"/>
    <mergeCell ref="C67:D67"/>
    <mergeCell ref="D66:E66"/>
    <mergeCell ref="B65:B67"/>
    <mergeCell ref="F65:H65"/>
    <mergeCell ref="C65:E65"/>
    <mergeCell ref="F80:H80"/>
    <mergeCell ref="G81:H81"/>
    <mergeCell ref="D81:E81"/>
    <mergeCell ref="C80:E80"/>
    <mergeCell ref="B80:B82"/>
    <mergeCell ref="D96:E96"/>
    <mergeCell ref="C97:D97"/>
    <mergeCell ref="F82:G82"/>
    <mergeCell ref="B95:B97"/>
    <mergeCell ref="C95:E95"/>
    <mergeCell ref="C82:D82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BC40708D-C61F-4DD0-B655-776DD652B500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37" id="{E40C84B3-AFFF-4C0D-9502-F6A186144D69}">
            <xm:f>IF($H9&gt;Sheet1!$F$4,1,)</xm:f>
            <x14:dxf>
              <font>
                <color theme="0" tint="-0.499984740745262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36" id="{7F11A491-55C2-4F98-8A51-88292185729C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35" id="{6F03D5DC-DAED-4102-B663-F58032246BDA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34" id="{A034D0E3-224F-491F-A238-21494104807C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33" id="{4A481E56-B1A2-4256-99C5-36F066FCA65E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32" id="{65933662-4BFC-4E1F-9EF9-B6FE5355CAD9}">
            <xm:f>IF($W9&gt;Sheet1!$F$4,1,)</xm:f>
            <x14:dxf>
              <font>
                <color rgb="FF808080"/>
              </font>
            </x14:dxf>
          </x14:cfRule>
          <xm:sqref>V9:W17</xm:sqref>
        </x14:conditionalFormatting>
        <x14:conditionalFormatting xmlns:xm="http://schemas.microsoft.com/office/excel/2006/main">
          <x14:cfRule type="expression" priority="31" id="{023C44EF-7925-44B0-9E21-98BE9DBE2613}">
            <xm:f>IF($Z9&gt;Sheet1!$F$4,1,)</xm:f>
            <x14:dxf>
              <font>
                <color rgb="FF808080"/>
              </font>
            </x14:dxf>
          </x14:cfRule>
          <xm:sqref>Y9:Z17</xm:sqref>
        </x14:conditionalFormatting>
        <x14:conditionalFormatting xmlns:xm="http://schemas.microsoft.com/office/excel/2006/main">
          <x14:cfRule type="expression" priority="30" id="{45E6D35C-7538-4AA9-A022-EA3A0FABB3FA}">
            <xm:f>IF($AC9&gt;Sheet1!$F$4,1,)</xm:f>
            <x14:dxf>
              <font>
                <color rgb="FF808080"/>
              </font>
            </x14:dxf>
          </x14:cfRule>
          <xm:sqref>AB9:AC17</xm:sqref>
        </x14:conditionalFormatting>
        <x14:conditionalFormatting xmlns:xm="http://schemas.microsoft.com/office/excel/2006/main">
          <x14:cfRule type="expression" priority="29" id="{E260AFA7-E434-466E-9B13-32CE98D0940E}">
            <xm:f>IF($AF9&gt;Sheet1!$F$4,1,)</xm:f>
            <x14:dxf>
              <font>
                <color rgb="FF808080"/>
              </font>
            </x14:dxf>
          </x14:cfRule>
          <xm:sqref>AE9:AF17</xm:sqref>
        </x14:conditionalFormatting>
        <x14:conditionalFormatting xmlns:xm="http://schemas.microsoft.com/office/excel/2006/main">
          <x14:cfRule type="expression" priority="28" id="{954488D7-230D-4538-88AB-322AC64F0447}">
            <xm:f>IF($AI9&gt;Sheet1!$F$4,1,)</xm:f>
            <x14:dxf>
              <font>
                <color rgb="FF808080"/>
              </font>
            </x14:dxf>
          </x14:cfRule>
          <xm:sqref>AH9:AI17</xm:sqref>
        </x14:conditionalFormatting>
        <x14:conditionalFormatting xmlns:xm="http://schemas.microsoft.com/office/excel/2006/main">
          <x14:cfRule type="expression" priority="27" id="{6BD83D0A-7E5C-43B1-8CA3-E695799CECE4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26" id="{BA80DB10-23D0-42AE-A149-FC7E43D0FE98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expression" priority="11" id="{4F296900-0340-4B00-9911-5E770AB7358B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expression" priority="10" id="{2F75EFF8-CEAE-4958-9749-C44AD16B0D03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expression" priority="14" id="{6CBE9C05-437C-4122-A145-3254119841DA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expression" priority="13" id="{9C8CC482-1EBC-48DD-B8EF-62D59C1458EB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16" operator="between" id="{FB4F0077-EC68-45D7-8157-D363167C73D2}">
            <xm:f>Sheet1!$D$4</xm:f>
            <xm:f>Sheet1!$E$4</xm:f>
            <x14:dxf>
              <numFmt numFmtId="173" formatCode="&quot;&lt; 1&quot;"/>
            </x14:dxf>
          </x14:cfRule>
          <xm:sqref>C9:D17 F9:G17 I9:J17 L9:M17 O9:P17 R9:S17 U9:V17 X9:Y17 AA9:AB17 AD9:AE17 AG9:AH17</xm:sqref>
        </x14:conditionalFormatting>
        <x14:conditionalFormatting xmlns:xm="http://schemas.microsoft.com/office/excel/2006/main">
          <x14:cfRule type="cellIs" priority="15" operator="between" id="{26BA0712-882D-45D8-8806-BB4F811E71EA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cellIs" priority="12" operator="between" id="{90911B18-2FDA-4C6D-B1E9-35D3C7BA4978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cellIs" priority="9" operator="between" id="{EADF1B1E-34E6-478C-8668-BB0173FD3853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  <x14:conditionalFormatting xmlns:xm="http://schemas.microsoft.com/office/excel/2006/main">
          <x14:cfRule type="expression" priority="8" id="{AC25078B-E926-42B0-B89A-61D3846A52E2}">
            <xm:f>IF($E69&gt;Sheet1!$F$4,1,)</xm:f>
            <x14:dxf>
              <font>
                <color rgb="FF808080"/>
              </font>
            </x14:dxf>
          </x14:cfRule>
          <xm:sqref>D69:E77</xm:sqref>
        </x14:conditionalFormatting>
        <x14:conditionalFormatting xmlns:xm="http://schemas.microsoft.com/office/excel/2006/main">
          <x14:cfRule type="expression" priority="7" id="{2240AAD6-296D-4485-ADB8-EED8A7AC12D9}">
            <xm:f>IF($H69&gt;Sheet1!$F$4,1,)</xm:f>
            <x14:dxf>
              <font>
                <color rgb="FF808080"/>
              </font>
            </x14:dxf>
          </x14:cfRule>
          <xm:sqref>G69:H77</xm:sqref>
        </x14:conditionalFormatting>
        <x14:conditionalFormatting xmlns:xm="http://schemas.microsoft.com/office/excel/2006/main">
          <x14:cfRule type="cellIs" priority="6" operator="between" id="{ECF5D371-1B08-48E7-A4D8-78527587EC00}">
            <xm:f>Sheet1!$D$4</xm:f>
            <xm:f>Sheet1!$E$4</xm:f>
            <x14:dxf>
              <numFmt numFmtId="173" formatCode="&quot;&lt; 1&quot;"/>
            </x14:dxf>
          </x14:cfRule>
          <xm:sqref>C69:D77 F69:G77</xm:sqref>
        </x14:conditionalFormatting>
        <x14:conditionalFormatting xmlns:xm="http://schemas.microsoft.com/office/excel/2006/main">
          <x14:cfRule type="expression" priority="5" id="{60CE67D7-7CA2-45BE-9C80-DBB1633D349F}">
            <xm:f>IF($E84&gt;Sheet1!$F$4,1,)</xm:f>
            <x14:dxf>
              <font>
                <color rgb="FF808080"/>
              </font>
            </x14:dxf>
          </x14:cfRule>
          <xm:sqref>D84:E92</xm:sqref>
        </x14:conditionalFormatting>
        <x14:conditionalFormatting xmlns:xm="http://schemas.microsoft.com/office/excel/2006/main">
          <x14:cfRule type="expression" priority="4" id="{A5D5E0C6-82E2-47E9-A09A-8E943A9AF10E}">
            <xm:f>IF($H84&gt;Sheet1!$F$4,1,)</xm:f>
            <x14:dxf>
              <font>
                <color rgb="FF808080"/>
              </font>
            </x14:dxf>
          </x14:cfRule>
          <xm:sqref>G84:H92</xm:sqref>
        </x14:conditionalFormatting>
        <x14:conditionalFormatting xmlns:xm="http://schemas.microsoft.com/office/excel/2006/main">
          <x14:cfRule type="cellIs" priority="3" operator="between" id="{EE3DAE2F-6693-4A2F-828F-3F890BDF6343}">
            <xm:f>Sheet1!$D$4</xm:f>
            <xm:f>Sheet1!$E$4</xm:f>
            <x14:dxf>
              <numFmt numFmtId="173" formatCode="&quot;&lt; 1&quot;"/>
            </x14:dxf>
          </x14:cfRule>
          <xm:sqref>C84:D92 F84:G92</xm:sqref>
        </x14:conditionalFormatting>
        <x14:conditionalFormatting xmlns:xm="http://schemas.microsoft.com/office/excel/2006/main">
          <x14:cfRule type="expression" priority="2" id="{D16EA9E2-75F4-4E0A-BA69-D833B262AF6C}">
            <xm:f>IF($E99&gt;Sheet1!$F$4,1,)</xm:f>
            <x14:dxf>
              <font>
                <color rgb="FF808080"/>
              </font>
            </x14:dxf>
          </x14:cfRule>
          <xm:sqref>D99:E107</xm:sqref>
        </x14:conditionalFormatting>
        <x14:conditionalFormatting xmlns:xm="http://schemas.microsoft.com/office/excel/2006/main">
          <x14:cfRule type="cellIs" priority="1" operator="between" id="{DC9F4673-2F38-43D7-967D-A26B73DE78DF}">
            <xm:f>Sheet1!$D$4</xm:f>
            <xm:f>Sheet1!$E$4</xm:f>
            <x14:dxf>
              <numFmt numFmtId="173" formatCode="&quot;&lt; 1&quot;"/>
            </x14:dxf>
          </x14:cfRule>
          <xm:sqref>C99:D107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S28"/>
  <sheetViews>
    <sheetView zoomScaleNormal="100" workbookViewId="0"/>
  </sheetViews>
  <sheetFormatPr defaultRowHeight="12.75" x14ac:dyDescent="0.2"/>
  <cols>
    <col min="2" max="2" width="9" customWidth="1"/>
    <col min="3" max="3" width="16.125" bestFit="1" customWidth="1"/>
    <col min="4" max="4" width="13.75" bestFit="1" customWidth="1"/>
    <col min="5" max="5" width="13.25" bestFit="1" customWidth="1"/>
    <col min="6" max="6" width="6.625" customWidth="1"/>
    <col min="7" max="7" width="12.625" customWidth="1"/>
    <col min="8" max="8" width="14.125" bestFit="1" customWidth="1"/>
    <col min="9" max="9" width="10.375" bestFit="1" customWidth="1"/>
    <col min="10" max="10" width="9" customWidth="1"/>
    <col min="11" max="11" width="16.125" customWidth="1"/>
    <col min="12" max="13" width="12.625" customWidth="1"/>
    <col min="14" max="14" width="6.625" customWidth="1"/>
    <col min="15" max="16" width="12.625" customWidth="1"/>
    <col min="17" max="17" width="13.375" bestFit="1" customWidth="1"/>
    <col min="18" max="19" width="9" customWidth="1"/>
  </cols>
  <sheetData>
    <row r="2" spans="1:19" x14ac:dyDescent="0.2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ht="15" x14ac:dyDescent="0.2">
      <c r="A3" s="278"/>
      <c r="B3" s="992" t="s">
        <v>713</v>
      </c>
      <c r="C3" s="993"/>
      <c r="D3" s="993"/>
      <c r="E3" s="993"/>
      <c r="F3" s="993"/>
      <c r="G3" s="993"/>
      <c r="H3" s="993"/>
      <c r="J3" s="992" t="s">
        <v>714</v>
      </c>
      <c r="K3" s="993"/>
      <c r="L3" s="993"/>
      <c r="M3" s="993"/>
      <c r="N3" s="993"/>
      <c r="O3" s="993"/>
      <c r="P3" s="993"/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286"/>
      <c r="K4" s="286" t="s">
        <v>609</v>
      </c>
      <c r="L4" s="445" t="s">
        <v>78</v>
      </c>
      <c r="M4" s="445" t="s">
        <v>309</v>
      </c>
      <c r="N4" s="445" t="s">
        <v>82</v>
      </c>
      <c r="O4" s="445" t="s">
        <v>310</v>
      </c>
      <c r="P4" s="445" t="s">
        <v>486</v>
      </c>
    </row>
    <row r="5" spans="1:19" s="23" customFormat="1" x14ac:dyDescent="0.2">
      <c r="A5" s="433"/>
      <c r="B5" s="441"/>
      <c r="C5" s="431" t="s">
        <v>106</v>
      </c>
      <c r="D5" s="432">
        <v>1086.856</v>
      </c>
      <c r="E5" s="434">
        <v>114759.10264065789</v>
      </c>
      <c r="F5" s="439">
        <v>2.4594095309913326</v>
      </c>
      <c r="G5" s="446">
        <f>E5*F5/100</f>
        <v>2822.3963080244662</v>
      </c>
      <c r="H5" s="447">
        <f>SUM(D5,E5)</f>
        <v>115845.95864065789</v>
      </c>
      <c r="I5" s="433"/>
      <c r="J5" s="441"/>
      <c r="K5" s="431" t="s">
        <v>106</v>
      </c>
      <c r="L5" s="462">
        <v>4.234</v>
      </c>
      <c r="M5" s="460">
        <v>273.7048505593342</v>
      </c>
      <c r="N5" s="439">
        <v>1.8212735686694925</v>
      </c>
      <c r="O5" s="458">
        <f>M5*N5/100</f>
        <v>4.984914099403488</v>
      </c>
      <c r="P5" s="459">
        <f>SUM(L5,M5)</f>
        <v>277.93885055933418</v>
      </c>
    </row>
    <row r="6" spans="1:19" s="24" customFormat="1" x14ac:dyDescent="0.2">
      <c r="A6" s="435"/>
      <c r="B6" s="442"/>
      <c r="C6" s="431" t="s">
        <v>92</v>
      </c>
      <c r="D6" s="432">
        <v>908.27300000000002</v>
      </c>
      <c r="E6" s="434">
        <v>19493.425182449955</v>
      </c>
      <c r="F6" s="439">
        <v>6.2536938661027861</v>
      </c>
      <c r="G6" s="446">
        <f t="shared" ref="G6:G26" si="0">E6*F6/100</f>
        <v>1219.0591349282086</v>
      </c>
      <c r="H6" s="447">
        <f>SUM(D6,E6)</f>
        <v>20401.698182449956</v>
      </c>
      <c r="I6" s="435"/>
      <c r="J6" s="442"/>
      <c r="K6" s="431" t="s">
        <v>92</v>
      </c>
      <c r="L6" s="462">
        <v>3.077</v>
      </c>
      <c r="M6" s="460">
        <v>35.184022173160407</v>
      </c>
      <c r="N6" s="439">
        <v>5.2109651544763897</v>
      </c>
      <c r="O6" s="458">
        <f>M6*N6/100</f>
        <v>1.8334271353866354</v>
      </c>
      <c r="P6" s="459">
        <f>SUM(L6,M6)</f>
        <v>38.261022173160406</v>
      </c>
    </row>
    <row r="7" spans="1:19" s="24" customFormat="1" x14ac:dyDescent="0.2">
      <c r="A7" s="435"/>
      <c r="B7" s="442"/>
      <c r="C7" s="431" t="s">
        <v>105</v>
      </c>
      <c r="D7" s="432">
        <v>178.58099999999999</v>
      </c>
      <c r="E7" s="434">
        <v>95384.012655135346</v>
      </c>
      <c r="F7" s="439">
        <v>2.6512098692388602</v>
      </c>
      <c r="G7" s="446">
        <f>E7*F7/100</f>
        <v>2528.8303571889915</v>
      </c>
      <c r="H7" s="447">
        <f>SUM(D7,E7)</f>
        <v>95562.593655135352</v>
      </c>
      <c r="I7" s="435"/>
      <c r="J7" s="442"/>
      <c r="K7" s="431" t="s">
        <v>105</v>
      </c>
      <c r="L7" s="462">
        <v>1.157</v>
      </c>
      <c r="M7" s="460">
        <v>238.95121310174778</v>
      </c>
      <c r="N7" s="439">
        <v>1.9668291972654841</v>
      </c>
      <c r="O7" s="458">
        <f>M7*N7/100</f>
        <v>4.6997622265052419</v>
      </c>
      <c r="P7" s="459">
        <f>SUM(L7,M7)</f>
        <v>240.10821310174779</v>
      </c>
    </row>
    <row r="8" spans="1:19" s="24" customFormat="1" x14ac:dyDescent="0.2">
      <c r="A8" s="435"/>
      <c r="B8" s="442"/>
      <c r="C8" s="431" t="s">
        <v>84</v>
      </c>
      <c r="D8" s="432">
        <v>213.22800000000001</v>
      </c>
      <c r="E8" s="436">
        <v>2100.2923151612772</v>
      </c>
      <c r="F8" s="439">
        <v>20.952489471385213</v>
      </c>
      <c r="G8" s="446">
        <f t="shared" si="0"/>
        <v>440.06352620247935</v>
      </c>
      <c r="H8" s="447">
        <f>SUM(D8,E8)</f>
        <v>2313.5203151612773</v>
      </c>
      <c r="I8" s="435"/>
      <c r="J8" s="442"/>
      <c r="K8" s="431" t="s">
        <v>84</v>
      </c>
      <c r="L8" s="462">
        <v>0.54900000000000004</v>
      </c>
      <c r="M8" s="465">
        <v>2.9547148874996227</v>
      </c>
      <c r="N8" s="439">
        <v>20.670060864406711</v>
      </c>
      <c r="O8" s="458">
        <f t="shared" ref="O8:O26" si="1">M8*N8/100</f>
        <v>0.61074136561585834</v>
      </c>
      <c r="P8" s="459">
        <f>SUM(L8,M8)</f>
        <v>3.5037148874996227</v>
      </c>
    </row>
    <row r="9" spans="1:19" s="24" customFormat="1" x14ac:dyDescent="0.2">
      <c r="A9" s="435"/>
      <c r="B9" s="442"/>
      <c r="C9" s="431" t="s">
        <v>85</v>
      </c>
      <c r="D9" s="432">
        <v>171.261</v>
      </c>
      <c r="E9" s="436">
        <v>2041.0583912796412</v>
      </c>
      <c r="F9" s="439">
        <v>20.144405454152203</v>
      </c>
      <c r="G9" s="446">
        <f t="shared" si="0"/>
        <v>411.1590778953672</v>
      </c>
      <c r="H9" s="447">
        <f t="shared" ref="H9:H26" si="2">SUM(D9,E9)</f>
        <v>2212.3193912796414</v>
      </c>
      <c r="I9" s="435"/>
      <c r="J9" s="442"/>
      <c r="K9" s="431" t="s">
        <v>85</v>
      </c>
      <c r="L9" s="462">
        <v>0.626</v>
      </c>
      <c r="M9" s="465">
        <v>2.8296663599120322</v>
      </c>
      <c r="N9" s="439">
        <v>19.425162862739452</v>
      </c>
      <c r="O9" s="458">
        <f t="shared" si="1"/>
        <v>0.54966729888506338</v>
      </c>
      <c r="P9" s="459">
        <f t="shared" ref="P9:P26" si="3">SUM(L9,M9)</f>
        <v>3.4556663599120321</v>
      </c>
    </row>
    <row r="10" spans="1:19" s="24" customFormat="1" x14ac:dyDescent="0.2">
      <c r="A10" s="435"/>
      <c r="B10" s="442"/>
      <c r="C10" s="431" t="s">
        <v>86</v>
      </c>
      <c r="D10" s="432">
        <v>140.23400000000001</v>
      </c>
      <c r="E10" s="436">
        <v>1141.4719166479297</v>
      </c>
      <c r="F10" s="439">
        <v>19.609495313556032</v>
      </c>
      <c r="G10" s="446">
        <f t="shared" si="0"/>
        <v>223.83688200063401</v>
      </c>
      <c r="H10" s="447">
        <f t="shared" si="2"/>
        <v>1281.7059166479296</v>
      </c>
      <c r="I10" s="435"/>
      <c r="J10" s="442"/>
      <c r="K10" s="431" t="s">
        <v>86</v>
      </c>
      <c r="L10" s="462">
        <v>0.51400000000000001</v>
      </c>
      <c r="M10" s="465">
        <v>1.8677529513886513</v>
      </c>
      <c r="N10" s="439">
        <v>22.416715668038911</v>
      </c>
      <c r="O10" s="458">
        <f t="shared" si="1"/>
        <v>0.41868886849419901</v>
      </c>
      <c r="P10" s="459">
        <f t="shared" si="3"/>
        <v>2.3817529513886511</v>
      </c>
    </row>
    <row r="11" spans="1:19" s="24" customFormat="1" x14ac:dyDescent="0.2">
      <c r="A11" s="435"/>
      <c r="B11" s="442"/>
      <c r="C11" s="431" t="s">
        <v>87</v>
      </c>
      <c r="D11" s="432">
        <v>113.399</v>
      </c>
      <c r="E11" s="436">
        <v>22.89202813782855</v>
      </c>
      <c r="F11" s="439">
        <v>52.796503028433122</v>
      </c>
      <c r="G11" s="446">
        <f t="shared" si="0"/>
        <v>12.086190329058413</v>
      </c>
      <c r="H11" s="447">
        <f t="shared" si="2"/>
        <v>136.29102813782856</v>
      </c>
      <c r="I11" s="435"/>
      <c r="J11" s="442"/>
      <c r="K11" s="431" t="s">
        <v>87</v>
      </c>
      <c r="L11" s="462">
        <v>0.29299999999999998</v>
      </c>
      <c r="M11" s="465">
        <v>5.4377759742864698E-2</v>
      </c>
      <c r="N11" s="439">
        <v>74.279185223049566</v>
      </c>
      <c r="O11" s="458">
        <f t="shared" si="1"/>
        <v>4.0391356879547348E-2</v>
      </c>
      <c r="P11" s="459">
        <f t="shared" si="3"/>
        <v>0.34737775974286467</v>
      </c>
    </row>
    <row r="12" spans="1:19" s="24" customFormat="1" x14ac:dyDescent="0.2">
      <c r="A12" s="435"/>
      <c r="B12" s="442"/>
      <c r="C12" s="431" t="s">
        <v>88</v>
      </c>
      <c r="D12" s="432">
        <v>113.21599999999999</v>
      </c>
      <c r="E12" s="436">
        <v>8419.5939866050976</v>
      </c>
      <c r="F12" s="439">
        <v>7.1758334508384456</v>
      </c>
      <c r="G12" s="446">
        <f t="shared" si="0"/>
        <v>604.17604171559083</v>
      </c>
      <c r="H12" s="447">
        <f t="shared" si="2"/>
        <v>8532.8099866050979</v>
      </c>
      <c r="I12" s="435"/>
      <c r="J12" s="442"/>
      <c r="K12" s="431" t="s">
        <v>88</v>
      </c>
      <c r="L12" s="462">
        <v>0.59</v>
      </c>
      <c r="M12" s="465">
        <v>19.47121264794275</v>
      </c>
      <c r="N12" s="439">
        <v>6.7011007194289531</v>
      </c>
      <c r="O12" s="458">
        <f t="shared" si="1"/>
        <v>1.3047855708328329</v>
      </c>
      <c r="P12" s="459">
        <f t="shared" si="3"/>
        <v>20.061212647942749</v>
      </c>
    </row>
    <row r="13" spans="1:19" s="24" customFormat="1" x14ac:dyDescent="0.2">
      <c r="A13" s="435"/>
      <c r="B13" s="442"/>
      <c r="C13" s="431" t="s">
        <v>89</v>
      </c>
      <c r="D13" s="432">
        <v>46.381</v>
      </c>
      <c r="E13" s="436">
        <v>3133.6667778587166</v>
      </c>
      <c r="F13" s="439">
        <v>17.268833192938175</v>
      </c>
      <c r="G13" s="446">
        <f t="shared" si="0"/>
        <v>541.14768869094223</v>
      </c>
      <c r="H13" s="447">
        <f t="shared" si="2"/>
        <v>3180.0477778587165</v>
      </c>
      <c r="I13" s="435"/>
      <c r="J13" s="442"/>
      <c r="K13" s="431" t="s">
        <v>89</v>
      </c>
      <c r="L13" s="462">
        <v>0.19800000000000001</v>
      </c>
      <c r="M13" s="465">
        <v>4.4210243959389466</v>
      </c>
      <c r="N13" s="439">
        <v>13.862379789989777</v>
      </c>
      <c r="O13" s="458">
        <f t="shared" si="1"/>
        <v>0.61285919237315811</v>
      </c>
      <c r="P13" s="459">
        <f t="shared" si="3"/>
        <v>4.619024395938947</v>
      </c>
    </row>
    <row r="14" spans="1:19" s="24" customFormat="1" x14ac:dyDescent="0.2">
      <c r="A14" s="435"/>
      <c r="B14" s="442"/>
      <c r="C14" s="431" t="s">
        <v>90</v>
      </c>
      <c r="D14" s="432">
        <v>22.611999999999998</v>
      </c>
      <c r="E14" s="436">
        <v>0</v>
      </c>
      <c r="F14" s="439">
        <v>0</v>
      </c>
      <c r="G14" s="446">
        <f t="shared" si="0"/>
        <v>0</v>
      </c>
      <c r="H14" s="447">
        <f t="shared" si="2"/>
        <v>22.611999999999998</v>
      </c>
      <c r="I14" s="435"/>
      <c r="J14" s="442"/>
      <c r="K14" s="431" t="s">
        <v>90</v>
      </c>
      <c r="L14" s="462">
        <v>9.8000000000000004E-2</v>
      </c>
      <c r="M14" s="465">
        <v>0</v>
      </c>
      <c r="N14" s="439">
        <v>0</v>
      </c>
      <c r="O14" s="458">
        <f t="shared" si="1"/>
        <v>0</v>
      </c>
      <c r="P14" s="459">
        <f t="shared" si="3"/>
        <v>9.8000000000000004E-2</v>
      </c>
    </row>
    <row r="15" spans="1:19" s="24" customFormat="1" x14ac:dyDescent="0.2">
      <c r="A15" s="435"/>
      <c r="B15" s="442"/>
      <c r="C15" s="431" t="s">
        <v>91</v>
      </c>
      <c r="D15" s="432">
        <v>87.941000000000003</v>
      </c>
      <c r="E15" s="436">
        <v>2732.4531769339733</v>
      </c>
      <c r="F15" s="439">
        <v>23.044752836379264</v>
      </c>
      <c r="G15" s="446">
        <f t="shared" si="0"/>
        <v>629.68708099422702</v>
      </c>
      <c r="H15" s="447">
        <f t="shared" si="2"/>
        <v>2820.3941769339731</v>
      </c>
      <c r="I15" s="435"/>
      <c r="J15" s="442"/>
      <c r="K15" s="431" t="s">
        <v>91</v>
      </c>
      <c r="L15" s="462">
        <v>0.20899999999999999</v>
      </c>
      <c r="M15" s="465">
        <v>3.7127843154412705</v>
      </c>
      <c r="N15" s="439">
        <v>18.110611330679159</v>
      </c>
      <c r="O15" s="458">
        <f t="shared" si="1"/>
        <v>0.67240793691598544</v>
      </c>
      <c r="P15" s="459">
        <f t="shared" si="3"/>
        <v>3.9217843154412706</v>
      </c>
    </row>
    <row r="16" spans="1:19" s="24" customFormat="1" x14ac:dyDescent="0.2">
      <c r="A16" s="435"/>
      <c r="B16" s="442"/>
      <c r="C16" s="431" t="s">
        <v>94</v>
      </c>
      <c r="D16" s="432">
        <v>75.867000000000004</v>
      </c>
      <c r="E16" s="436">
        <v>29783.330122819676</v>
      </c>
      <c r="F16" s="439">
        <v>5.3336839063373915</v>
      </c>
      <c r="G16" s="446">
        <f t="shared" si="0"/>
        <v>1588.5486855321694</v>
      </c>
      <c r="H16" s="447">
        <f t="shared" si="2"/>
        <v>29859.197122819674</v>
      </c>
      <c r="I16" s="435"/>
      <c r="J16" s="442"/>
      <c r="K16" s="431" t="s">
        <v>94</v>
      </c>
      <c r="L16" s="462">
        <v>0.46300000000000002</v>
      </c>
      <c r="M16" s="465">
        <v>51.566289547759546</v>
      </c>
      <c r="N16" s="439">
        <v>4.6924204613890197</v>
      </c>
      <c r="O16" s="458">
        <f t="shared" si="1"/>
        <v>2.4197071219181763</v>
      </c>
      <c r="P16" s="459">
        <f t="shared" si="3"/>
        <v>52.029289547759547</v>
      </c>
    </row>
    <row r="17" spans="1:16" s="24" customFormat="1" x14ac:dyDescent="0.2">
      <c r="A17" s="435"/>
      <c r="B17" s="442"/>
      <c r="C17" s="431" t="s">
        <v>95</v>
      </c>
      <c r="D17" s="432">
        <v>39.935000000000002</v>
      </c>
      <c r="E17" s="436">
        <v>7027.7594131980841</v>
      </c>
      <c r="F17" s="439">
        <v>12.402162631799996</v>
      </c>
      <c r="G17" s="446">
        <f t="shared" si="0"/>
        <v>871.59415179645953</v>
      </c>
      <c r="H17" s="447">
        <f t="shared" si="2"/>
        <v>7067.6944131980845</v>
      </c>
      <c r="I17" s="435"/>
      <c r="J17" s="442"/>
      <c r="K17" s="431" t="s">
        <v>95</v>
      </c>
      <c r="L17" s="462">
        <v>0.20399999999999999</v>
      </c>
      <c r="M17" s="465">
        <v>11.501138523094857</v>
      </c>
      <c r="N17" s="439">
        <v>10.52273553227295</v>
      </c>
      <c r="O17" s="458">
        <f t="shared" si="1"/>
        <v>1.2102343899856349</v>
      </c>
      <c r="P17" s="459">
        <f t="shared" si="3"/>
        <v>11.705138523094858</v>
      </c>
    </row>
    <row r="18" spans="1:16" s="24" customFormat="1" x14ac:dyDescent="0.2">
      <c r="A18" s="435"/>
      <c r="B18" s="442"/>
      <c r="C18" s="431" t="s">
        <v>96</v>
      </c>
      <c r="D18" s="432">
        <v>7.6950000000000003</v>
      </c>
      <c r="E18" s="436">
        <v>12701.904108893625</v>
      </c>
      <c r="F18" s="439">
        <v>7.2233725902019685</v>
      </c>
      <c r="G18" s="446">
        <f t="shared" si="0"/>
        <v>917.5058598355597</v>
      </c>
      <c r="H18" s="447">
        <f t="shared" si="2"/>
        <v>12709.599108893624</v>
      </c>
      <c r="I18" s="435"/>
      <c r="J18" s="442"/>
      <c r="K18" s="431" t="s">
        <v>96</v>
      </c>
      <c r="L18" s="462">
        <v>5.3999999999999999E-2</v>
      </c>
      <c r="M18" s="465">
        <v>35.351485360898828</v>
      </c>
      <c r="N18" s="439">
        <v>5.7773267785627116</v>
      </c>
      <c r="O18" s="458">
        <f t="shared" si="1"/>
        <v>2.0423708303748849</v>
      </c>
      <c r="P18" s="459">
        <f t="shared" si="3"/>
        <v>35.40548536089883</v>
      </c>
    </row>
    <row r="19" spans="1:16" s="24" customFormat="1" x14ac:dyDescent="0.2">
      <c r="A19" s="435"/>
      <c r="B19" s="442"/>
      <c r="C19" s="431" t="s">
        <v>97</v>
      </c>
      <c r="D19" s="432">
        <v>8.1270000000000007</v>
      </c>
      <c r="E19" s="436">
        <v>23880.150171669833</v>
      </c>
      <c r="F19" s="439">
        <v>4.8994705861262595</v>
      </c>
      <c r="G19" s="446">
        <f t="shared" si="0"/>
        <v>1170.0009335837428</v>
      </c>
      <c r="H19" s="447">
        <f t="shared" si="2"/>
        <v>23888.277171669833</v>
      </c>
      <c r="I19" s="435"/>
      <c r="J19" s="442"/>
      <c r="K19" s="431" t="s">
        <v>97</v>
      </c>
      <c r="L19" s="462">
        <v>6.6000000000000003E-2</v>
      </c>
      <c r="M19" s="465">
        <v>56.927243305349897</v>
      </c>
      <c r="N19" s="439">
        <v>3.9549393804192086</v>
      </c>
      <c r="O19" s="458">
        <f t="shared" si="1"/>
        <v>2.2514379636703405</v>
      </c>
      <c r="P19" s="459">
        <f t="shared" si="3"/>
        <v>56.9932433053499</v>
      </c>
    </row>
    <row r="20" spans="1:16" s="24" customFormat="1" x14ac:dyDescent="0.2">
      <c r="A20" s="435"/>
      <c r="B20" s="442"/>
      <c r="C20" s="431" t="s">
        <v>98</v>
      </c>
      <c r="D20" s="432">
        <v>13.247</v>
      </c>
      <c r="E20" s="436">
        <v>5528.2409008144905</v>
      </c>
      <c r="F20" s="439">
        <v>5.8000907693566734</v>
      </c>
      <c r="G20" s="446">
        <f t="shared" si="0"/>
        <v>320.64299019594148</v>
      </c>
      <c r="H20" s="447">
        <f t="shared" si="2"/>
        <v>5541.4879008144908</v>
      </c>
      <c r="I20" s="435"/>
      <c r="J20" s="442"/>
      <c r="K20" s="431" t="s">
        <v>98</v>
      </c>
      <c r="L20" s="462">
        <v>0.127</v>
      </c>
      <c r="M20" s="465">
        <v>26.601619665381513</v>
      </c>
      <c r="N20" s="439">
        <v>5.8932494696891409</v>
      </c>
      <c r="O20" s="458">
        <f t="shared" si="1"/>
        <v>1.5676998098588184</v>
      </c>
      <c r="P20" s="459">
        <f t="shared" si="3"/>
        <v>26.728619665381512</v>
      </c>
    </row>
    <row r="21" spans="1:16" s="24" customFormat="1" x14ac:dyDescent="0.2">
      <c r="A21" s="435"/>
      <c r="B21" s="442"/>
      <c r="C21" s="431" t="s">
        <v>99</v>
      </c>
      <c r="D21" s="432">
        <v>2.3330000000000002</v>
      </c>
      <c r="E21" s="436">
        <v>1159.9950920456536</v>
      </c>
      <c r="F21" s="439">
        <v>28.413784864195566</v>
      </c>
      <c r="G21" s="446">
        <f t="shared" si="0"/>
        <v>329.59850988907937</v>
      </c>
      <c r="H21" s="447">
        <f t="shared" si="2"/>
        <v>1162.3280920456536</v>
      </c>
      <c r="I21" s="435"/>
      <c r="J21" s="442"/>
      <c r="K21" s="431" t="s">
        <v>99</v>
      </c>
      <c r="L21" s="462">
        <v>1.7999999999999999E-2</v>
      </c>
      <c r="M21" s="465">
        <v>2.6440774720222251</v>
      </c>
      <c r="N21" s="439">
        <v>30.651905722817663</v>
      </c>
      <c r="O21" s="458">
        <f t="shared" si="1"/>
        <v>0.81046013396251293</v>
      </c>
      <c r="P21" s="459">
        <f t="shared" si="3"/>
        <v>2.6620774720222249</v>
      </c>
    </row>
    <row r="22" spans="1:16" s="24" customFormat="1" x14ac:dyDescent="0.2">
      <c r="A22" s="435"/>
      <c r="B22" s="442"/>
      <c r="C22" s="431" t="s">
        <v>100</v>
      </c>
      <c r="D22" s="432">
        <v>1.96</v>
      </c>
      <c r="E22" s="436">
        <v>2618.5684034491183</v>
      </c>
      <c r="F22" s="439">
        <v>8.526730824144634</v>
      </c>
      <c r="G22" s="446">
        <f t="shared" si="0"/>
        <v>223.27827920820798</v>
      </c>
      <c r="H22" s="447">
        <f t="shared" si="2"/>
        <v>2620.5284034491183</v>
      </c>
      <c r="I22" s="435"/>
      <c r="J22" s="442"/>
      <c r="K22" s="431" t="s">
        <v>100</v>
      </c>
      <c r="L22" s="462">
        <v>0.02</v>
      </c>
      <c r="M22" s="465">
        <v>20.463734408444648</v>
      </c>
      <c r="N22" s="439">
        <v>7.4327821329630641</v>
      </c>
      <c r="O22" s="458">
        <f t="shared" si="1"/>
        <v>1.5210247948478886</v>
      </c>
      <c r="P22" s="459">
        <f t="shared" si="3"/>
        <v>20.483734408444647</v>
      </c>
    </row>
    <row r="23" spans="1:16" s="24" customFormat="1" x14ac:dyDescent="0.2">
      <c r="A23" s="435"/>
      <c r="B23" s="442"/>
      <c r="C23" s="431" t="s">
        <v>101</v>
      </c>
      <c r="D23" s="432">
        <v>0</v>
      </c>
      <c r="E23" s="436">
        <v>45.610650037172562</v>
      </c>
      <c r="F23" s="439">
        <v>36.285389258697343</v>
      </c>
      <c r="G23" s="446">
        <f t="shared" si="0"/>
        <v>16.550001909410248</v>
      </c>
      <c r="H23" s="447">
        <f t="shared" si="2"/>
        <v>45.610650037172562</v>
      </c>
      <c r="I23" s="435"/>
      <c r="J23" s="442"/>
      <c r="K23" s="431" t="s">
        <v>101</v>
      </c>
      <c r="L23" s="462">
        <v>0</v>
      </c>
      <c r="M23" s="465">
        <v>0.22287222280566227</v>
      </c>
      <c r="N23" s="439">
        <v>27.968197468068539</v>
      </c>
      <c r="O23" s="458">
        <f t="shared" si="1"/>
        <v>6.233334337576131E-2</v>
      </c>
      <c r="P23" s="459">
        <f t="shared" si="3"/>
        <v>0.22287222280566227</v>
      </c>
    </row>
    <row r="24" spans="1:16" s="24" customFormat="1" x14ac:dyDescent="0.2">
      <c r="A24" s="435"/>
      <c r="B24" s="442"/>
      <c r="C24" s="431" t="s">
        <v>102</v>
      </c>
      <c r="D24" s="432">
        <v>1.62</v>
      </c>
      <c r="E24" s="436">
        <v>4832.5428354967889</v>
      </c>
      <c r="F24" s="439">
        <v>9.38773550769384</v>
      </c>
      <c r="G24" s="446">
        <f t="shared" si="0"/>
        <v>453.6663396924468</v>
      </c>
      <c r="H24" s="447">
        <f t="shared" si="2"/>
        <v>4834.1628354967888</v>
      </c>
      <c r="I24" s="435"/>
      <c r="J24" s="442"/>
      <c r="K24" s="431" t="s">
        <v>102</v>
      </c>
      <c r="L24" s="462">
        <v>8.9999999999999993E-3</v>
      </c>
      <c r="M24" s="465">
        <v>13.413276899033674</v>
      </c>
      <c r="N24" s="439">
        <v>9.0543247873255357</v>
      </c>
      <c r="O24" s="458">
        <f t="shared" si="1"/>
        <v>1.214481655061816</v>
      </c>
      <c r="P24" s="459">
        <f t="shared" si="3"/>
        <v>13.422276899033674</v>
      </c>
    </row>
    <row r="25" spans="1:16" s="24" customFormat="1" x14ac:dyDescent="0.2">
      <c r="A25" s="435"/>
      <c r="B25" s="442"/>
      <c r="C25" s="431" t="s">
        <v>103</v>
      </c>
      <c r="D25" s="432">
        <v>2.1000000000000001E-2</v>
      </c>
      <c r="E25" s="436">
        <v>622.01773691407902</v>
      </c>
      <c r="F25" s="439">
        <v>29.334654872849264</v>
      </c>
      <c r="G25" s="446">
        <f t="shared" si="0"/>
        <v>182.46675637165259</v>
      </c>
      <c r="H25" s="447">
        <f t="shared" si="2"/>
        <v>622.03873691407898</v>
      </c>
      <c r="I25" s="435"/>
      <c r="J25" s="442"/>
      <c r="K25" s="431" t="s">
        <v>103</v>
      </c>
      <c r="L25" s="462">
        <v>0</v>
      </c>
      <c r="M25" s="465">
        <v>1.1861676359596196</v>
      </c>
      <c r="N25" s="439">
        <v>24.563804875255517</v>
      </c>
      <c r="O25" s="458">
        <f t="shared" si="1"/>
        <v>0.29136790359055215</v>
      </c>
      <c r="P25" s="459">
        <f t="shared" si="3"/>
        <v>1.1861676359596196</v>
      </c>
    </row>
    <row r="26" spans="1:16" s="24" customFormat="1" ht="13.5" thickBot="1" x14ac:dyDescent="0.25">
      <c r="A26" s="435"/>
      <c r="B26" s="297"/>
      <c r="C26" s="437" t="s">
        <v>104</v>
      </c>
      <c r="D26" s="440">
        <v>27.77</v>
      </c>
      <c r="E26" s="440">
        <v>7266.8740868610175</v>
      </c>
      <c r="F26" s="438">
        <v>9.9127588771221955</v>
      </c>
      <c r="G26" s="336">
        <f t="shared" si="0"/>
        <v>720.34770613460796</v>
      </c>
      <c r="H26" s="344">
        <f t="shared" si="2"/>
        <v>7294.644086861018</v>
      </c>
      <c r="I26" s="435"/>
      <c r="J26" s="297"/>
      <c r="K26" s="437" t="s">
        <v>104</v>
      </c>
      <c r="L26" s="455">
        <v>0.20100000000000001</v>
      </c>
      <c r="M26" s="455">
        <v>19.507619713506564</v>
      </c>
      <c r="N26" s="438">
        <v>7.5393513215423402</v>
      </c>
      <c r="O26" s="456">
        <f t="shared" si="1"/>
        <v>1.4707479846717113</v>
      </c>
      <c r="P26" s="457">
        <f t="shared" si="3"/>
        <v>19.708619713506565</v>
      </c>
    </row>
    <row r="27" spans="1:16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6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</sheetData>
  <mergeCells count="2">
    <mergeCell ref="B3:H3"/>
    <mergeCell ref="J3:P3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7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328</v>
      </c>
      <c r="C3" t="s">
        <v>878</v>
      </c>
    </row>
    <row r="5" spans="2:6" ht="15" customHeight="1" x14ac:dyDescent="0.2">
      <c r="B5" s="1085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142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44" t="str">
        <f>Index!$B$4</f>
        <v>England</v>
      </c>
      <c r="C7" s="145"/>
      <c r="D7" s="145"/>
      <c r="E7" s="145"/>
      <c r="F7" s="145"/>
    </row>
    <row r="8" spans="2:6" ht="15" customHeight="1" x14ac:dyDescent="0.2">
      <c r="B8" s="142" t="s">
        <v>332</v>
      </c>
      <c r="C8" s="137">
        <f>'Section 11 chart data'!D20</f>
        <v>8617.6839999999993</v>
      </c>
      <c r="D8" s="138">
        <f>'Section 11 chart data'!J20</f>
        <v>171247.32399999999</v>
      </c>
      <c r="E8" s="900">
        <f>'Section 11 chart data'!K20</f>
        <v>1.5351323302068958</v>
      </c>
      <c r="F8" s="139">
        <f>SUM(C8,D8)</f>
        <v>179865.008</v>
      </c>
    </row>
    <row r="9" spans="2:6" ht="15" customHeight="1" x14ac:dyDescent="0.2">
      <c r="B9" s="142" t="s">
        <v>222</v>
      </c>
      <c r="C9" s="137">
        <f>'Section 11 chart data'!D21</f>
        <v>9281.9560000000001</v>
      </c>
      <c r="D9" s="138">
        <f>'Section 11 chart data'!J21</f>
        <v>180048.25200000001</v>
      </c>
      <c r="E9" s="900">
        <f>'Section 11 chart data'!K21</f>
        <v>1.464022577550941</v>
      </c>
      <c r="F9" s="139">
        <f t="shared" ref="F9:F18" si="0">SUM(C9,D9)</f>
        <v>189330.20800000001</v>
      </c>
    </row>
    <row r="10" spans="2:6" ht="15" customHeight="1" x14ac:dyDescent="0.2">
      <c r="B10" s="142" t="s">
        <v>225</v>
      </c>
      <c r="C10" s="137">
        <f>'Section 11 chart data'!D22</f>
        <v>9826.41</v>
      </c>
      <c r="D10" s="138">
        <f>'Section 11 chart data'!J22</f>
        <v>193999.96599999999</v>
      </c>
      <c r="E10" s="900">
        <f>'Section 11 chart data'!K22</f>
        <v>1.4177348257444924</v>
      </c>
      <c r="F10" s="139">
        <f t="shared" si="0"/>
        <v>203826.37599999999</v>
      </c>
    </row>
    <row r="11" spans="2:6" ht="15" customHeight="1" x14ac:dyDescent="0.2">
      <c r="B11" s="142" t="s">
        <v>226</v>
      </c>
      <c r="C11" s="137">
        <f>'Section 11 chart data'!D23</f>
        <v>10432.989</v>
      </c>
      <c r="D11" s="138">
        <f>'Section 11 chart data'!J23</f>
        <v>211446.682</v>
      </c>
      <c r="E11" s="900">
        <f>'Section 11 chart data'!K23</f>
        <v>1.3486362440571191</v>
      </c>
      <c r="F11" s="139">
        <f t="shared" si="0"/>
        <v>221879.671</v>
      </c>
    </row>
    <row r="12" spans="2:6" ht="15" customHeight="1" x14ac:dyDescent="0.2">
      <c r="B12" s="142" t="s">
        <v>227</v>
      </c>
      <c r="C12" s="137">
        <f>'Section 11 chart data'!D24</f>
        <v>10912.287</v>
      </c>
      <c r="D12" s="138">
        <f>'Section 11 chart data'!J24</f>
        <v>228329.76500000001</v>
      </c>
      <c r="E12" s="900">
        <f>'Section 11 chart data'!K24</f>
        <v>1.2974331215965491</v>
      </c>
      <c r="F12" s="139">
        <f t="shared" si="0"/>
        <v>239242.05200000003</v>
      </c>
    </row>
    <row r="13" spans="2:6" ht="15" customHeight="1" x14ac:dyDescent="0.2">
      <c r="B13" s="142" t="s">
        <v>228</v>
      </c>
      <c r="C13" s="137">
        <f>'Section 11 chart data'!D25</f>
        <v>11321.800999999999</v>
      </c>
      <c r="D13" s="138">
        <f>'Section 11 chart data'!J25</f>
        <v>245430.26</v>
      </c>
      <c r="E13" s="900">
        <f>'Section 11 chart data'!K25</f>
        <v>1.2509392421138841</v>
      </c>
      <c r="F13" s="139">
        <f t="shared" si="0"/>
        <v>256752.06100000002</v>
      </c>
    </row>
    <row r="14" spans="2:6" ht="15" customHeight="1" x14ac:dyDescent="0.2">
      <c r="B14" s="142" t="s">
        <v>333</v>
      </c>
      <c r="C14" s="137">
        <f>'Section 11 chart data'!D26</f>
        <v>11441.243</v>
      </c>
      <c r="D14" s="138">
        <f>'Section 11 chart data'!J26</f>
        <v>260522.95800000001</v>
      </c>
      <c r="E14" s="900">
        <f>'Section 11 chart data'!K26</f>
        <v>1.2181509330545259</v>
      </c>
      <c r="F14" s="139">
        <f t="shared" si="0"/>
        <v>271964.201</v>
      </c>
    </row>
    <row r="15" spans="2:6" ht="15" customHeight="1" x14ac:dyDescent="0.2">
      <c r="B15" s="142" t="s">
        <v>334</v>
      </c>
      <c r="C15" s="137">
        <f>'Section 11 chart data'!D27</f>
        <v>11553.438</v>
      </c>
      <c r="D15" s="138">
        <f>'Section 11 chart data'!J27</f>
        <v>273910.364</v>
      </c>
      <c r="E15" s="900">
        <f>'Section 11 chart data'!K27</f>
        <v>1.1914173190843582</v>
      </c>
      <c r="F15" s="139">
        <f t="shared" si="0"/>
        <v>285463.80200000003</v>
      </c>
    </row>
    <row r="16" spans="2:6" ht="15" customHeight="1" x14ac:dyDescent="0.2">
      <c r="B16" s="142" t="s">
        <v>231</v>
      </c>
      <c r="C16" s="137">
        <f>'Section 11 chart data'!D28</f>
        <v>11802.027</v>
      </c>
      <c r="D16" s="138">
        <f>'Section 11 chart data'!J28</f>
        <v>286054.41700000002</v>
      </c>
      <c r="E16" s="900">
        <f>'Section 11 chart data'!K28</f>
        <v>1.1763444196673944</v>
      </c>
      <c r="F16" s="139">
        <f t="shared" si="0"/>
        <v>297856.44400000002</v>
      </c>
    </row>
    <row r="17" spans="2:6" ht="15" customHeight="1" x14ac:dyDescent="0.2">
      <c r="B17" s="142" t="s">
        <v>232</v>
      </c>
      <c r="C17" s="137">
        <f>'Section 11 chart data'!D29</f>
        <v>12049.249</v>
      </c>
      <c r="D17" s="138">
        <f>'Section 11 chart data'!J29</f>
        <v>295930.364</v>
      </c>
      <c r="E17" s="900">
        <f>'Section 11 chart data'!K29</f>
        <v>1.1772078848264955</v>
      </c>
      <c r="F17" s="139">
        <f t="shared" si="0"/>
        <v>307979.61300000001</v>
      </c>
    </row>
    <row r="18" spans="2:6" ht="15" customHeight="1" x14ac:dyDescent="0.2">
      <c r="B18" s="143" t="s">
        <v>233</v>
      </c>
      <c r="C18" s="137">
        <f>'Section 11 chart data'!D30</f>
        <v>12188.589</v>
      </c>
      <c r="D18" s="138">
        <f>'Section 11 chart data'!J30</f>
        <v>304599.43699999998</v>
      </c>
      <c r="E18" s="900">
        <f>'Section 11 chart data'!K30</f>
        <v>1.18536922767145</v>
      </c>
      <c r="F18" s="140">
        <f t="shared" si="0"/>
        <v>316788.02599999995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EAE5162-CFA8-4699-9993-C9ADD1F4A6AA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160E9339-C1B1-4F6E-9034-31EDDCA7B05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327</v>
      </c>
      <c r="C3" t="s">
        <v>493</v>
      </c>
    </row>
    <row r="5" spans="2:35" ht="15" customHeight="1" x14ac:dyDescent="0.2">
      <c r="B5" s="1131" t="s">
        <v>77</v>
      </c>
      <c r="C5" s="1141" t="s">
        <v>332</v>
      </c>
      <c r="D5" s="1141"/>
      <c r="E5" s="1141"/>
      <c r="F5" s="1141" t="s">
        <v>222</v>
      </c>
      <c r="G5" s="1141"/>
      <c r="H5" s="1141"/>
      <c r="I5" s="1141" t="s">
        <v>225</v>
      </c>
      <c r="J5" s="1141"/>
      <c r="K5" s="1141"/>
      <c r="L5" s="1141" t="s">
        <v>226</v>
      </c>
      <c r="M5" s="1141"/>
      <c r="N5" s="1141"/>
      <c r="O5" s="1141" t="s">
        <v>227</v>
      </c>
      <c r="P5" s="1141"/>
      <c r="Q5" s="1141"/>
      <c r="R5" s="1141" t="s">
        <v>228</v>
      </c>
      <c r="S5" s="1141"/>
      <c r="T5" s="1141"/>
      <c r="U5" s="1141" t="s">
        <v>333</v>
      </c>
      <c r="V5" s="1141"/>
      <c r="W5" s="1141"/>
      <c r="X5" s="1141" t="s">
        <v>334</v>
      </c>
      <c r="Y5" s="1141"/>
      <c r="Z5" s="1141"/>
      <c r="AA5" s="1141" t="s">
        <v>231</v>
      </c>
      <c r="AB5" s="1141"/>
      <c r="AC5" s="1141"/>
      <c r="AD5" s="1141" t="s">
        <v>232</v>
      </c>
      <c r="AE5" s="1141"/>
      <c r="AF5" s="1141"/>
      <c r="AG5" s="1141" t="s">
        <v>233</v>
      </c>
      <c r="AH5" s="1141"/>
      <c r="AI5" s="1133"/>
    </row>
    <row r="6" spans="2:35" ht="15" customHeight="1" x14ac:dyDescent="0.2">
      <c r="B6" s="1143"/>
      <c r="C6" s="103" t="s">
        <v>78</v>
      </c>
      <c r="D6" s="1137" t="s">
        <v>79</v>
      </c>
      <c r="E6" s="1137"/>
      <c r="F6" s="103" t="s">
        <v>78</v>
      </c>
      <c r="G6" s="1137" t="s">
        <v>79</v>
      </c>
      <c r="H6" s="1137"/>
      <c r="I6" s="103" t="s">
        <v>78</v>
      </c>
      <c r="J6" s="1137" t="s">
        <v>79</v>
      </c>
      <c r="K6" s="1137"/>
      <c r="L6" s="103" t="s">
        <v>78</v>
      </c>
      <c r="M6" s="1137" t="s">
        <v>79</v>
      </c>
      <c r="N6" s="1137"/>
      <c r="O6" s="103" t="s">
        <v>78</v>
      </c>
      <c r="P6" s="1137" t="s">
        <v>79</v>
      </c>
      <c r="Q6" s="1137"/>
      <c r="R6" s="103" t="s">
        <v>78</v>
      </c>
      <c r="S6" s="1137" t="s">
        <v>79</v>
      </c>
      <c r="T6" s="1137"/>
      <c r="U6" s="103" t="s">
        <v>78</v>
      </c>
      <c r="V6" s="1137" t="s">
        <v>79</v>
      </c>
      <c r="W6" s="1137"/>
      <c r="X6" s="103" t="s">
        <v>78</v>
      </c>
      <c r="Y6" s="1137" t="s">
        <v>79</v>
      </c>
      <c r="Z6" s="1137"/>
      <c r="AA6" s="103" t="s">
        <v>78</v>
      </c>
      <c r="AB6" s="1137" t="s">
        <v>79</v>
      </c>
      <c r="AC6" s="1137"/>
      <c r="AD6" s="103" t="s">
        <v>78</v>
      </c>
      <c r="AE6" s="1137" t="s">
        <v>79</v>
      </c>
      <c r="AF6" s="1137"/>
      <c r="AG6" s="103" t="s">
        <v>78</v>
      </c>
      <c r="AH6" s="1137" t="s">
        <v>79</v>
      </c>
      <c r="AI6" s="1127"/>
    </row>
    <row r="7" spans="2:35" ht="30" customHeight="1" x14ac:dyDescent="0.2">
      <c r="B7" s="1144"/>
      <c r="C7" s="1138" t="s">
        <v>326</v>
      </c>
      <c r="D7" s="1138"/>
      <c r="E7" s="16" t="s">
        <v>82</v>
      </c>
      <c r="F7" s="1138" t="s">
        <v>326</v>
      </c>
      <c r="G7" s="1138"/>
      <c r="H7" s="16" t="s">
        <v>82</v>
      </c>
      <c r="I7" s="1138" t="s">
        <v>326</v>
      </c>
      <c r="J7" s="1138"/>
      <c r="K7" s="16" t="s">
        <v>82</v>
      </c>
      <c r="L7" s="1138" t="s">
        <v>326</v>
      </c>
      <c r="M7" s="1138"/>
      <c r="N7" s="16" t="s">
        <v>82</v>
      </c>
      <c r="O7" s="1138" t="s">
        <v>326</v>
      </c>
      <c r="P7" s="1138"/>
      <c r="Q7" s="16" t="s">
        <v>82</v>
      </c>
      <c r="R7" s="1138" t="s">
        <v>326</v>
      </c>
      <c r="S7" s="1138"/>
      <c r="T7" s="16" t="s">
        <v>82</v>
      </c>
      <c r="U7" s="1138" t="s">
        <v>326</v>
      </c>
      <c r="V7" s="1138"/>
      <c r="W7" s="16" t="s">
        <v>82</v>
      </c>
      <c r="X7" s="1138" t="s">
        <v>326</v>
      </c>
      <c r="Y7" s="1138"/>
      <c r="Z7" s="16" t="s">
        <v>82</v>
      </c>
      <c r="AA7" s="1138" t="s">
        <v>326</v>
      </c>
      <c r="AB7" s="1138"/>
      <c r="AC7" s="16" t="s">
        <v>82</v>
      </c>
      <c r="AD7" s="1138" t="s">
        <v>326</v>
      </c>
      <c r="AE7" s="1138"/>
      <c r="AF7" s="16" t="s">
        <v>82</v>
      </c>
      <c r="AG7" s="1138" t="s">
        <v>326</v>
      </c>
      <c r="AH7" s="1138"/>
      <c r="AI7" s="17" t="s">
        <v>82</v>
      </c>
    </row>
    <row r="8" spans="2:35" ht="15" customHeight="1" x14ac:dyDescent="0.2">
      <c r="B8" s="144" t="str">
        <f>Index!$B$4</f>
        <v>England</v>
      </c>
      <c r="C8" s="193"/>
      <c r="D8" s="122"/>
      <c r="E8" s="105"/>
      <c r="F8" s="105"/>
      <c r="G8" s="122"/>
      <c r="H8" s="194"/>
      <c r="I8" s="105"/>
      <c r="J8" s="122"/>
      <c r="K8" s="194"/>
      <c r="L8" s="105"/>
      <c r="M8" s="122"/>
      <c r="N8" s="194"/>
      <c r="O8" s="105"/>
      <c r="P8" s="194"/>
      <c r="Q8" s="194"/>
      <c r="R8" s="193"/>
      <c r="S8" s="122"/>
      <c r="T8" s="105"/>
      <c r="U8" s="105"/>
      <c r="V8" s="122"/>
      <c r="W8" s="194"/>
      <c r="X8" s="105"/>
      <c r="Y8" s="122"/>
      <c r="Z8" s="194"/>
      <c r="AA8" s="105"/>
      <c r="AB8" s="122"/>
      <c r="AC8" s="194"/>
      <c r="AD8" s="105"/>
      <c r="AE8" s="194"/>
      <c r="AF8" s="194"/>
      <c r="AG8" s="105"/>
      <c r="AH8" s="194"/>
      <c r="AI8" s="194"/>
    </row>
    <row r="9" spans="2:35" ht="15" customHeight="1" x14ac:dyDescent="0.2">
      <c r="B9" s="107" t="s">
        <v>105</v>
      </c>
      <c r="C9" s="108">
        <v>8617.6839999999993</v>
      </c>
      <c r="D9" s="108">
        <v>164011.03200000001</v>
      </c>
      <c r="E9" s="119">
        <v>1.578299008253101</v>
      </c>
      <c r="F9" s="108">
        <v>9281.9560000000001</v>
      </c>
      <c r="G9" s="108">
        <v>172791.905</v>
      </c>
      <c r="H9" s="119">
        <v>1.5038884812547442</v>
      </c>
      <c r="I9" s="108">
        <v>9826.41</v>
      </c>
      <c r="J9" s="108">
        <v>186378.573</v>
      </c>
      <c r="K9" s="119">
        <v>1.4548626479386337</v>
      </c>
      <c r="L9" s="108">
        <v>10432.989</v>
      </c>
      <c r="M9" s="108">
        <v>203264.83799999999</v>
      </c>
      <c r="N9" s="119">
        <v>1.3836379363463021</v>
      </c>
      <c r="O9" s="108">
        <v>10912.287</v>
      </c>
      <c r="P9" s="108">
        <v>219510.06700000001</v>
      </c>
      <c r="Q9" s="119">
        <v>1.3315926808227021</v>
      </c>
      <c r="R9" s="108">
        <v>11321.800999999999</v>
      </c>
      <c r="S9" s="108">
        <v>235932.50200000001</v>
      </c>
      <c r="T9" s="119">
        <v>1.2842906648651937</v>
      </c>
      <c r="U9" s="108">
        <v>11441.243</v>
      </c>
      <c r="V9" s="108">
        <v>250368.239</v>
      </c>
      <c r="W9" s="119">
        <v>1.251512742440601</v>
      </c>
      <c r="X9" s="108">
        <v>11553.438</v>
      </c>
      <c r="Y9" s="108">
        <v>263378.76799999998</v>
      </c>
      <c r="Z9" s="119">
        <v>1.2251823188361524</v>
      </c>
      <c r="AA9" s="108">
        <v>11802.027</v>
      </c>
      <c r="AB9" s="108">
        <v>274992.53100000002</v>
      </c>
      <c r="AC9" s="119">
        <v>1.2100511122405397</v>
      </c>
      <c r="AD9" s="108">
        <v>12049.249</v>
      </c>
      <c r="AE9" s="108">
        <v>284381.06400000001</v>
      </c>
      <c r="AF9" s="119">
        <v>1.2116906959858929</v>
      </c>
      <c r="AG9" s="108">
        <v>12188.589</v>
      </c>
      <c r="AH9" s="108">
        <v>292631.95299999998</v>
      </c>
      <c r="AI9" s="120">
        <v>1.2207094793729985</v>
      </c>
    </row>
    <row r="10" spans="2:35" ht="15" customHeight="1" x14ac:dyDescent="0.2">
      <c r="B10" s="109" t="s">
        <v>94</v>
      </c>
      <c r="C10" s="110">
        <v>3308.8470000000002</v>
      </c>
      <c r="D10" s="110">
        <v>49316.161</v>
      </c>
      <c r="E10" s="111">
        <v>3.5430475689876331</v>
      </c>
      <c r="F10" s="110">
        <v>3464.3829999999998</v>
      </c>
      <c r="G10" s="110">
        <v>50788.785000000003</v>
      </c>
      <c r="H10" s="111">
        <v>3.4759029897187403</v>
      </c>
      <c r="I10" s="110">
        <v>3574.7109999999998</v>
      </c>
      <c r="J10" s="110">
        <v>52887.565000000002</v>
      </c>
      <c r="K10" s="111">
        <v>3.4224087851449498</v>
      </c>
      <c r="L10" s="110">
        <v>3711.6109999999999</v>
      </c>
      <c r="M10" s="110">
        <v>54961.809000000001</v>
      </c>
      <c r="N10" s="111">
        <v>3.3886060614661724</v>
      </c>
      <c r="O10" s="110">
        <v>3818.174</v>
      </c>
      <c r="P10" s="110">
        <v>56922.347999999998</v>
      </c>
      <c r="Q10" s="111">
        <v>3.3717646719566514</v>
      </c>
      <c r="R10" s="110">
        <v>3935.6529999999998</v>
      </c>
      <c r="S10" s="110">
        <v>59557.341</v>
      </c>
      <c r="T10" s="111">
        <v>3.3258295386012611</v>
      </c>
      <c r="U10" s="110">
        <v>3917</v>
      </c>
      <c r="V10" s="110">
        <v>62024.754999999997</v>
      </c>
      <c r="W10" s="111">
        <v>3.2827701131226972</v>
      </c>
      <c r="X10" s="110">
        <v>3842.174</v>
      </c>
      <c r="Y10" s="110">
        <v>64382.745000000003</v>
      </c>
      <c r="Z10" s="111">
        <v>3.241843257642036</v>
      </c>
      <c r="AA10" s="110">
        <v>3889.114</v>
      </c>
      <c r="AB10" s="110">
        <v>66617.077000000005</v>
      </c>
      <c r="AC10" s="111">
        <v>3.2145641622995642</v>
      </c>
      <c r="AD10" s="110">
        <v>3953.0120000000002</v>
      </c>
      <c r="AE10" s="110">
        <v>68794.774999999994</v>
      </c>
      <c r="AF10" s="111">
        <v>3.1869184702815501</v>
      </c>
      <c r="AG10" s="110">
        <v>3960.741</v>
      </c>
      <c r="AH10" s="110">
        <v>70928.137000000002</v>
      </c>
      <c r="AI10" s="112">
        <v>3.1601532944487634</v>
      </c>
    </row>
    <row r="11" spans="2:35" ht="15" customHeight="1" x14ac:dyDescent="0.2">
      <c r="B11" s="109" t="s">
        <v>95</v>
      </c>
      <c r="C11" s="110">
        <v>2717.9780000000001</v>
      </c>
      <c r="D11" s="110">
        <v>18556.862000000001</v>
      </c>
      <c r="E11" s="111">
        <v>6.2541074817394477</v>
      </c>
      <c r="F11" s="110">
        <v>2968.9229999999998</v>
      </c>
      <c r="G11" s="110">
        <v>18832.446</v>
      </c>
      <c r="H11" s="111">
        <v>5.8818767270574694</v>
      </c>
      <c r="I11" s="110">
        <v>3162.5520000000001</v>
      </c>
      <c r="J11" s="110">
        <v>19518.157999999999</v>
      </c>
      <c r="K11" s="111">
        <v>5.820011524788379</v>
      </c>
      <c r="L11" s="110">
        <v>3357.9029999999998</v>
      </c>
      <c r="M11" s="110">
        <v>20414.814999999999</v>
      </c>
      <c r="N11" s="111">
        <v>5.738430944744052</v>
      </c>
      <c r="O11" s="110">
        <v>3487.9079999999999</v>
      </c>
      <c r="P11" s="110">
        <v>21259.245999999999</v>
      </c>
      <c r="Q11" s="111">
        <v>5.7094678393349838</v>
      </c>
      <c r="R11" s="110">
        <v>3520.7719999999999</v>
      </c>
      <c r="S11" s="110">
        <v>22211.414000000001</v>
      </c>
      <c r="T11" s="111">
        <v>5.673080515095049</v>
      </c>
      <c r="U11" s="110">
        <v>3520.5129999999999</v>
      </c>
      <c r="V11" s="110">
        <v>22889.754000000001</v>
      </c>
      <c r="W11" s="111">
        <v>5.6853908522766954</v>
      </c>
      <c r="X11" s="110">
        <v>3610.4659999999999</v>
      </c>
      <c r="Y11" s="110">
        <v>23626.367999999999</v>
      </c>
      <c r="Z11" s="111">
        <v>5.6515917797363162</v>
      </c>
      <c r="AA11" s="110">
        <v>3684.5720000000001</v>
      </c>
      <c r="AB11" s="110">
        <v>24362.213</v>
      </c>
      <c r="AC11" s="111">
        <v>5.6150397341971994</v>
      </c>
      <c r="AD11" s="110">
        <v>3774.55</v>
      </c>
      <c r="AE11" s="110">
        <v>24865.08</v>
      </c>
      <c r="AF11" s="111">
        <v>5.6361064854358638</v>
      </c>
      <c r="AG11" s="110">
        <v>3837.2979999999998</v>
      </c>
      <c r="AH11" s="110">
        <v>25697.364000000001</v>
      </c>
      <c r="AI11" s="112">
        <v>5.5977023338518137</v>
      </c>
    </row>
    <row r="12" spans="2:35" ht="15" customHeight="1" x14ac:dyDescent="0.2">
      <c r="B12" s="109" t="s">
        <v>96</v>
      </c>
      <c r="C12" s="110">
        <v>142.68799999999999</v>
      </c>
      <c r="D12" s="110">
        <v>13955.165000000001</v>
      </c>
      <c r="E12" s="111">
        <v>5.7492894566678601</v>
      </c>
      <c r="F12" s="110">
        <v>150.45500000000001</v>
      </c>
      <c r="G12" s="110">
        <v>13726.536</v>
      </c>
      <c r="H12" s="111">
        <v>5.7030160209065999</v>
      </c>
      <c r="I12" s="110">
        <v>153.11099999999999</v>
      </c>
      <c r="J12" s="110">
        <v>14085.023999999999</v>
      </c>
      <c r="K12" s="111">
        <v>5.7663420972135979</v>
      </c>
      <c r="L12" s="110">
        <v>157.19999999999999</v>
      </c>
      <c r="M12" s="110">
        <v>15473.608</v>
      </c>
      <c r="N12" s="111">
        <v>5.5114429711288375</v>
      </c>
      <c r="O12" s="110">
        <v>158.22</v>
      </c>
      <c r="P12" s="110">
        <v>16850.041000000001</v>
      </c>
      <c r="Q12" s="111">
        <v>5.289775128608043</v>
      </c>
      <c r="R12" s="110">
        <v>163.4</v>
      </c>
      <c r="S12" s="110">
        <v>18158.072</v>
      </c>
      <c r="T12" s="111">
        <v>5.109968904779719</v>
      </c>
      <c r="U12" s="110">
        <v>161.22300000000001</v>
      </c>
      <c r="V12" s="110">
        <v>19253.775000000001</v>
      </c>
      <c r="W12" s="111">
        <v>4.9904888672650713</v>
      </c>
      <c r="X12" s="110">
        <v>157.71100000000001</v>
      </c>
      <c r="Y12" s="110">
        <v>20178.126</v>
      </c>
      <c r="Z12" s="111">
        <v>4.902049456537009</v>
      </c>
      <c r="AA12" s="110">
        <v>157.99</v>
      </c>
      <c r="AB12" s="110">
        <v>20855.147000000001</v>
      </c>
      <c r="AC12" s="111">
        <v>4.847927546300272</v>
      </c>
      <c r="AD12" s="110">
        <v>158.851</v>
      </c>
      <c r="AE12" s="110">
        <v>21136.233</v>
      </c>
      <c r="AF12" s="111">
        <v>4.8491036947467032</v>
      </c>
      <c r="AG12" s="110">
        <v>160.66999999999999</v>
      </c>
      <c r="AH12" s="110">
        <v>21113.262999999999</v>
      </c>
      <c r="AI12" s="112">
        <v>4.9162555054750063</v>
      </c>
    </row>
    <row r="13" spans="2:35" ht="15" customHeight="1" x14ac:dyDescent="0.2">
      <c r="B13" s="109" t="s">
        <v>97</v>
      </c>
      <c r="C13" s="110">
        <v>403.29899999999998</v>
      </c>
      <c r="D13" s="110">
        <v>28038.797999999999</v>
      </c>
      <c r="E13" s="111">
        <v>4.1522476212237756</v>
      </c>
      <c r="F13" s="110">
        <v>426.245</v>
      </c>
      <c r="G13" s="110">
        <v>28821.248</v>
      </c>
      <c r="H13" s="111">
        <v>4.1412252781077035</v>
      </c>
      <c r="I13" s="110">
        <v>438.166</v>
      </c>
      <c r="J13" s="110">
        <v>30591.260999999999</v>
      </c>
      <c r="K13" s="111">
        <v>4.0864789166305293</v>
      </c>
      <c r="L13" s="110">
        <v>457.09699999999998</v>
      </c>
      <c r="M13" s="110">
        <v>33430.281999999999</v>
      </c>
      <c r="N13" s="111">
        <v>3.9101149317796842</v>
      </c>
      <c r="O13" s="110">
        <v>471.59300000000002</v>
      </c>
      <c r="P13" s="110">
        <v>36169.839</v>
      </c>
      <c r="Q13" s="111">
        <v>3.7634107907018923</v>
      </c>
      <c r="R13" s="110">
        <v>497.00700000000001</v>
      </c>
      <c r="S13" s="110">
        <v>38729.949999999997</v>
      </c>
      <c r="T13" s="111">
        <v>3.6430407244375678</v>
      </c>
      <c r="U13" s="110">
        <v>486.79</v>
      </c>
      <c r="V13" s="110">
        <v>40860.9</v>
      </c>
      <c r="W13" s="111">
        <v>3.5561479768580546</v>
      </c>
      <c r="X13" s="110">
        <v>455.46300000000002</v>
      </c>
      <c r="Y13" s="110">
        <v>42656.154999999999</v>
      </c>
      <c r="Z13" s="111">
        <v>3.489728101278637</v>
      </c>
      <c r="AA13" s="110">
        <v>464.62599999999998</v>
      </c>
      <c r="AB13" s="110">
        <v>43941.963000000003</v>
      </c>
      <c r="AC13" s="111">
        <v>3.455673209328356</v>
      </c>
      <c r="AD13" s="110">
        <v>475.24</v>
      </c>
      <c r="AE13" s="110">
        <v>44443.504999999997</v>
      </c>
      <c r="AF13" s="111">
        <v>3.4778244897526518</v>
      </c>
      <c r="AG13" s="110">
        <v>482.58499999999998</v>
      </c>
      <c r="AH13" s="110">
        <v>44753.932999999997</v>
      </c>
      <c r="AI13" s="112">
        <v>3.5135311537907863</v>
      </c>
    </row>
    <row r="14" spans="2:35" ht="15" customHeight="1" x14ac:dyDescent="0.2">
      <c r="B14" s="109" t="s">
        <v>98</v>
      </c>
      <c r="C14" s="110">
        <v>492.108</v>
      </c>
      <c r="D14" s="110">
        <v>11060.636</v>
      </c>
      <c r="E14" s="111">
        <v>4.4098054483549367</v>
      </c>
      <c r="F14" s="110">
        <v>553.50800000000004</v>
      </c>
      <c r="G14" s="110">
        <v>12158.37</v>
      </c>
      <c r="H14" s="111">
        <v>4.2353834284856395</v>
      </c>
      <c r="I14" s="110">
        <v>615.05999999999995</v>
      </c>
      <c r="J14" s="110">
        <v>13624.061</v>
      </c>
      <c r="K14" s="111">
        <v>4.21518991158527</v>
      </c>
      <c r="L14" s="110">
        <v>684.803</v>
      </c>
      <c r="M14" s="110">
        <v>15458.166999999999</v>
      </c>
      <c r="N14" s="111">
        <v>4.1763443913431795</v>
      </c>
      <c r="O14" s="110">
        <v>750.46500000000003</v>
      </c>
      <c r="P14" s="110">
        <v>17174.746999999999</v>
      </c>
      <c r="Q14" s="111">
        <v>4.1325347074180288</v>
      </c>
      <c r="R14" s="110">
        <v>815.54899999999998</v>
      </c>
      <c r="S14" s="110">
        <v>18800.781999999999</v>
      </c>
      <c r="T14" s="111">
        <v>4.0777438206582541</v>
      </c>
      <c r="U14" s="110">
        <v>867.45299999999997</v>
      </c>
      <c r="V14" s="110">
        <v>20154.084999999999</v>
      </c>
      <c r="W14" s="111">
        <v>4.0403428019124581</v>
      </c>
      <c r="X14" s="110">
        <v>916.90499999999997</v>
      </c>
      <c r="Y14" s="110">
        <v>21286.355</v>
      </c>
      <c r="Z14" s="111">
        <v>4.0065672750412622</v>
      </c>
      <c r="AA14" s="110">
        <v>960.47799999999995</v>
      </c>
      <c r="AB14" s="110">
        <v>22284.422999999999</v>
      </c>
      <c r="AC14" s="111">
        <v>3.9845602800176985</v>
      </c>
      <c r="AD14" s="110">
        <v>976.00599999999997</v>
      </c>
      <c r="AE14" s="110">
        <v>23099.82</v>
      </c>
      <c r="AF14" s="111">
        <v>3.9799302042214735</v>
      </c>
      <c r="AG14" s="110">
        <v>982.85500000000002</v>
      </c>
      <c r="AH14" s="110">
        <v>23410.712</v>
      </c>
      <c r="AI14" s="112">
        <v>4.0076790368357473</v>
      </c>
    </row>
    <row r="15" spans="2:35" ht="15" customHeight="1" x14ac:dyDescent="0.2">
      <c r="B15" s="109" t="s">
        <v>248</v>
      </c>
      <c r="C15" s="110">
        <v>123.65</v>
      </c>
      <c r="D15" s="110">
        <v>7991.0640000000003</v>
      </c>
      <c r="E15" s="111">
        <v>8.4577333146362648</v>
      </c>
      <c r="F15" s="110">
        <v>135.268</v>
      </c>
      <c r="G15" s="110">
        <v>8709.5840000000007</v>
      </c>
      <c r="H15" s="111">
        <v>8.3036326321006317</v>
      </c>
      <c r="I15" s="110">
        <v>142.16399999999999</v>
      </c>
      <c r="J15" s="110">
        <v>9631.0059999999994</v>
      </c>
      <c r="K15" s="111">
        <v>8.1586666119391769</v>
      </c>
      <c r="L15" s="110">
        <v>150.96100000000001</v>
      </c>
      <c r="M15" s="110">
        <v>10540.735000000001</v>
      </c>
      <c r="N15" s="111">
        <v>8.0741968608946824</v>
      </c>
      <c r="O15" s="110">
        <v>153.87799999999999</v>
      </c>
      <c r="P15" s="110">
        <v>11290.187</v>
      </c>
      <c r="Q15" s="111">
        <v>8.0079637713725518</v>
      </c>
      <c r="R15" s="110">
        <v>160.822</v>
      </c>
      <c r="S15" s="110">
        <v>12125.806</v>
      </c>
      <c r="T15" s="111">
        <v>7.9725803240896118</v>
      </c>
      <c r="U15" s="110">
        <v>163.28</v>
      </c>
      <c r="V15" s="110">
        <v>12943.550999999999</v>
      </c>
      <c r="W15" s="111">
        <v>7.9779612376831546</v>
      </c>
      <c r="X15" s="110">
        <v>167.036</v>
      </c>
      <c r="Y15" s="110">
        <v>13627.882</v>
      </c>
      <c r="Z15" s="111">
        <v>7.9890849836228446</v>
      </c>
      <c r="AA15" s="110">
        <v>171.9</v>
      </c>
      <c r="AB15" s="110">
        <v>14338.496999999999</v>
      </c>
      <c r="AC15" s="111">
        <v>7.9951936839050388</v>
      </c>
      <c r="AD15" s="110">
        <v>175.46299999999999</v>
      </c>
      <c r="AE15" s="110">
        <v>14836.769</v>
      </c>
      <c r="AF15" s="111">
        <v>8.0889506005293441</v>
      </c>
      <c r="AG15" s="110">
        <v>180.221</v>
      </c>
      <c r="AH15" s="110">
        <v>15547.22</v>
      </c>
      <c r="AI15" s="112">
        <v>8.0726267788237891</v>
      </c>
    </row>
    <row r="16" spans="2:35" ht="15" customHeight="1" x14ac:dyDescent="0.2">
      <c r="B16" s="109" t="s">
        <v>100</v>
      </c>
      <c r="C16" s="110">
        <v>48.994</v>
      </c>
      <c r="D16" s="110">
        <v>5010.0209999999997</v>
      </c>
      <c r="E16" s="111">
        <v>5.4173414334690797</v>
      </c>
      <c r="F16" s="110">
        <v>54.686999999999998</v>
      </c>
      <c r="G16" s="110">
        <v>5791.2129999999997</v>
      </c>
      <c r="H16" s="111">
        <v>5.0722802313668502</v>
      </c>
      <c r="I16" s="110">
        <v>60.619</v>
      </c>
      <c r="J16" s="110">
        <v>6681.4210000000003</v>
      </c>
      <c r="K16" s="111">
        <v>4.7768646216219883</v>
      </c>
      <c r="L16" s="110">
        <v>66.12</v>
      </c>
      <c r="M16" s="110">
        <v>7609.5290000000005</v>
      </c>
      <c r="N16" s="111">
        <v>4.555253220847769</v>
      </c>
      <c r="O16" s="110">
        <v>71.075000000000003</v>
      </c>
      <c r="P16" s="110">
        <v>8453.7389999999996</v>
      </c>
      <c r="Q16" s="111">
        <v>4.4082542382652807</v>
      </c>
      <c r="R16" s="110">
        <v>75.403999999999996</v>
      </c>
      <c r="S16" s="110">
        <v>9120.7860000000001</v>
      </c>
      <c r="T16" s="111">
        <v>4.3408688237286341</v>
      </c>
      <c r="U16" s="110">
        <v>78.887</v>
      </c>
      <c r="V16" s="110">
        <v>9701.9419999999991</v>
      </c>
      <c r="W16" s="111">
        <v>4.2895298138621127</v>
      </c>
      <c r="X16" s="110">
        <v>81.846999999999994</v>
      </c>
      <c r="Y16" s="110">
        <v>10126.736000000001</v>
      </c>
      <c r="Z16" s="111">
        <v>4.2662643847344919</v>
      </c>
      <c r="AA16" s="110">
        <v>84.478999999999999</v>
      </c>
      <c r="AB16" s="110">
        <v>10474.831</v>
      </c>
      <c r="AC16" s="111">
        <v>4.2525643374524886</v>
      </c>
      <c r="AD16" s="110">
        <v>86.593000000000004</v>
      </c>
      <c r="AE16" s="110">
        <v>10767.81</v>
      </c>
      <c r="AF16" s="111">
        <v>4.2419637454818702</v>
      </c>
      <c r="AG16" s="110">
        <v>86.811000000000007</v>
      </c>
      <c r="AH16" s="110">
        <v>11117.696</v>
      </c>
      <c r="AI16" s="112">
        <v>4.2159907099449647</v>
      </c>
    </row>
    <row r="17" spans="2:35" ht="15" customHeight="1" x14ac:dyDescent="0.2">
      <c r="B17" s="109" t="s">
        <v>101</v>
      </c>
      <c r="C17" s="110">
        <v>0.104</v>
      </c>
      <c r="D17" s="110">
        <v>2838.4470000000001</v>
      </c>
      <c r="E17" s="111">
        <v>6.0677913924499771</v>
      </c>
      <c r="F17" s="110">
        <v>0.14499999999999999</v>
      </c>
      <c r="G17" s="110">
        <v>3509.2260000000001</v>
      </c>
      <c r="H17" s="111">
        <v>5.8635779769950451</v>
      </c>
      <c r="I17" s="110">
        <v>0.19500000000000001</v>
      </c>
      <c r="J17" s="110">
        <v>4406.0529999999999</v>
      </c>
      <c r="K17" s="111">
        <v>5.6246552835740271</v>
      </c>
      <c r="L17" s="110">
        <v>0.246</v>
      </c>
      <c r="M17" s="110">
        <v>5437.0190000000002</v>
      </c>
      <c r="N17" s="111">
        <v>5.5409385397142792</v>
      </c>
      <c r="O17" s="110">
        <v>0.29699999999999999</v>
      </c>
      <c r="P17" s="110">
        <v>6524.4009999999998</v>
      </c>
      <c r="Q17" s="111">
        <v>5.6080749986653391</v>
      </c>
      <c r="R17" s="110">
        <v>0.34599999999999997</v>
      </c>
      <c r="S17" s="110">
        <v>7616.0379999999996</v>
      </c>
      <c r="T17" s="111">
        <v>5.8357300898776154</v>
      </c>
      <c r="U17" s="110">
        <v>0.39400000000000002</v>
      </c>
      <c r="V17" s="110">
        <v>8681.6129999999994</v>
      </c>
      <c r="W17" s="111">
        <v>6.0798744212608833</v>
      </c>
      <c r="X17" s="110">
        <v>0.438</v>
      </c>
      <c r="Y17" s="110">
        <v>9707.8459999999995</v>
      </c>
      <c r="Z17" s="111">
        <v>6.3039955361257531</v>
      </c>
      <c r="AA17" s="110">
        <v>0.47899999999999998</v>
      </c>
      <c r="AB17" s="110">
        <v>10682.833000000001</v>
      </c>
      <c r="AC17" s="111">
        <v>6.5144154641782146</v>
      </c>
      <c r="AD17" s="110">
        <v>0.51900000000000002</v>
      </c>
      <c r="AE17" s="110">
        <v>11596.752</v>
      </c>
      <c r="AF17" s="111">
        <v>6.7136022054556861</v>
      </c>
      <c r="AG17" s="110">
        <v>0.55600000000000005</v>
      </c>
      <c r="AH17" s="110">
        <v>12412.773999999999</v>
      </c>
      <c r="AI17" s="112">
        <v>6.9168785323791298</v>
      </c>
    </row>
    <row r="18" spans="2:35" ht="15" customHeight="1" x14ac:dyDescent="0.2">
      <c r="B18" s="109" t="s">
        <v>102</v>
      </c>
      <c r="C18" s="110">
        <v>65.582999999999998</v>
      </c>
      <c r="D18" s="110">
        <v>6176.8689999999997</v>
      </c>
      <c r="E18" s="111">
        <v>8.1482158093628669</v>
      </c>
      <c r="F18" s="110">
        <v>70.236000000000004</v>
      </c>
      <c r="G18" s="110">
        <v>6585.5190000000002</v>
      </c>
      <c r="H18" s="111">
        <v>7.89379476796117</v>
      </c>
      <c r="I18" s="110">
        <v>74.290999999999997</v>
      </c>
      <c r="J18" s="110">
        <v>7176.6620000000003</v>
      </c>
      <c r="K18" s="111">
        <v>7.657807241048161</v>
      </c>
      <c r="L18" s="110">
        <v>78.206000000000003</v>
      </c>
      <c r="M18" s="110">
        <v>7799.1670000000004</v>
      </c>
      <c r="N18" s="111">
        <v>7.4438684260386472</v>
      </c>
      <c r="O18" s="110">
        <v>81.106999999999999</v>
      </c>
      <c r="P18" s="110">
        <v>8355.8639999999996</v>
      </c>
      <c r="Q18" s="111">
        <v>7.2983822746213685</v>
      </c>
      <c r="R18" s="110">
        <v>84.316999999999993</v>
      </c>
      <c r="S18" s="110">
        <v>8843.7430000000004</v>
      </c>
      <c r="T18" s="111">
        <v>7.1904759401884029</v>
      </c>
      <c r="U18" s="110">
        <v>85.738</v>
      </c>
      <c r="V18" s="110">
        <v>9242.1029999999992</v>
      </c>
      <c r="W18" s="111">
        <v>7.1163104397218957</v>
      </c>
      <c r="X18" s="110">
        <v>86.441999999999993</v>
      </c>
      <c r="Y18" s="110">
        <v>9551.4120000000003</v>
      </c>
      <c r="Z18" s="111">
        <v>7.0636001178602337</v>
      </c>
      <c r="AA18" s="110">
        <v>87.382999999999996</v>
      </c>
      <c r="AB18" s="110">
        <v>9833.8269999999993</v>
      </c>
      <c r="AC18" s="111">
        <v>7.0246427611724576</v>
      </c>
      <c r="AD18" s="110">
        <v>88.817999999999998</v>
      </c>
      <c r="AE18" s="110">
        <v>10034.286</v>
      </c>
      <c r="AF18" s="111">
        <v>7.0227084188926856</v>
      </c>
      <c r="AG18" s="110">
        <v>88.244</v>
      </c>
      <c r="AH18" s="110">
        <v>10223.225</v>
      </c>
      <c r="AI18" s="112">
        <v>7.0249358494359653</v>
      </c>
    </row>
    <row r="19" spans="2:35" ht="15" customHeight="1" x14ac:dyDescent="0.2">
      <c r="B19" s="109" t="s">
        <v>103</v>
      </c>
      <c r="C19" s="110">
        <v>0.90900000000000003</v>
      </c>
      <c r="D19" s="110">
        <v>5001.7209999999995</v>
      </c>
      <c r="E19" s="111">
        <v>7.7067830869705212</v>
      </c>
      <c r="F19" s="110">
        <v>1.179</v>
      </c>
      <c r="G19" s="110">
        <v>5785.991</v>
      </c>
      <c r="H19" s="111">
        <v>7.1810774891171851</v>
      </c>
      <c r="I19" s="110">
        <v>1.6</v>
      </c>
      <c r="J19" s="110">
        <v>6849.9170000000004</v>
      </c>
      <c r="K19" s="111">
        <v>6.7376382119329863</v>
      </c>
      <c r="L19" s="110">
        <v>2.11</v>
      </c>
      <c r="M19" s="110">
        <v>7973.4870000000001</v>
      </c>
      <c r="N19" s="111">
        <v>6.4266996097320073</v>
      </c>
      <c r="O19" s="110">
        <v>2.5760000000000001</v>
      </c>
      <c r="P19" s="110">
        <v>9104.7289999999994</v>
      </c>
      <c r="Q19" s="111">
        <v>6.2117750979204391</v>
      </c>
      <c r="R19" s="110">
        <v>3.0750000000000002</v>
      </c>
      <c r="S19" s="110">
        <v>10223.15</v>
      </c>
      <c r="T19" s="111">
        <v>6.0609063823125267</v>
      </c>
      <c r="U19" s="110">
        <v>3.4910000000000001</v>
      </c>
      <c r="V19" s="110">
        <v>11292.45</v>
      </c>
      <c r="W19" s="111">
        <v>5.9632313415798501</v>
      </c>
      <c r="X19" s="110">
        <v>3.9260000000000002</v>
      </c>
      <c r="Y19" s="110">
        <v>12321.143</v>
      </c>
      <c r="Z19" s="111">
        <v>5.8919998579153177</v>
      </c>
      <c r="AA19" s="110">
        <v>4.2750000000000004</v>
      </c>
      <c r="AB19" s="110">
        <v>13287.237999999999</v>
      </c>
      <c r="AC19" s="111">
        <v>5.8414313370312962</v>
      </c>
      <c r="AD19" s="110">
        <v>4.6920000000000002</v>
      </c>
      <c r="AE19" s="110">
        <v>14164.210999999999</v>
      </c>
      <c r="AF19" s="111">
        <v>5.8126040966926782</v>
      </c>
      <c r="AG19" s="110">
        <v>5.0910000000000002</v>
      </c>
      <c r="AH19" s="110">
        <v>14865.251</v>
      </c>
      <c r="AI19" s="112">
        <v>5.8128879232090673</v>
      </c>
    </row>
    <row r="20" spans="2:35" ht="15" customHeight="1" x14ac:dyDescent="0.2">
      <c r="B20" s="113" t="s">
        <v>104</v>
      </c>
      <c r="C20" s="114">
        <v>1313.527</v>
      </c>
      <c r="D20" s="114">
        <v>16144.562</v>
      </c>
      <c r="E20" s="115">
        <v>5.306109027646345</v>
      </c>
      <c r="F20" s="114">
        <v>1456.9259999999999</v>
      </c>
      <c r="G20" s="114">
        <v>18110.679</v>
      </c>
      <c r="H20" s="115">
        <v>4.9166520004808119</v>
      </c>
      <c r="I20" s="114">
        <v>1603.941</v>
      </c>
      <c r="J20" s="114">
        <v>20878.004000000001</v>
      </c>
      <c r="K20" s="115">
        <v>4.5472175390416343</v>
      </c>
      <c r="L20" s="114">
        <v>1766.7360000000001</v>
      </c>
      <c r="M20" s="114">
        <v>24072.972000000002</v>
      </c>
      <c r="N20" s="115">
        <v>4.2154241850861549</v>
      </c>
      <c r="O20" s="114">
        <v>1916.9939999999999</v>
      </c>
      <c r="P20" s="114">
        <v>27248.449000000001</v>
      </c>
      <c r="Q20" s="115">
        <v>3.9850602339447567</v>
      </c>
      <c r="R20" s="114">
        <v>2065.4569999999999</v>
      </c>
      <c r="S20" s="114">
        <v>30357.760999999999</v>
      </c>
      <c r="T20" s="115">
        <v>3.8180694424898372</v>
      </c>
      <c r="U20" s="114">
        <v>2156.473</v>
      </c>
      <c r="V20" s="114">
        <v>33130.656000000003</v>
      </c>
      <c r="W20" s="115">
        <v>3.7128415528549117</v>
      </c>
      <c r="X20" s="114">
        <v>2231.0320000000002</v>
      </c>
      <c r="Y20" s="114">
        <v>35690.057999999997</v>
      </c>
      <c r="Z20" s="115">
        <v>3.6374189327662205</v>
      </c>
      <c r="AA20" s="114">
        <v>2296.7310000000002</v>
      </c>
      <c r="AB20" s="114">
        <v>38039.661999999997</v>
      </c>
      <c r="AC20" s="115">
        <v>3.5850846037322874</v>
      </c>
      <c r="AD20" s="114">
        <v>2355.502</v>
      </c>
      <c r="AE20" s="114">
        <v>40232.379000000001</v>
      </c>
      <c r="AF20" s="115">
        <v>3.552842008656989</v>
      </c>
      <c r="AG20" s="114">
        <v>2403.5219999999999</v>
      </c>
      <c r="AH20" s="114">
        <v>42115.294999999998</v>
      </c>
      <c r="AI20" s="116">
        <v>3.5359786416289665</v>
      </c>
    </row>
    <row r="23" spans="2:35" ht="15" customHeight="1" x14ac:dyDescent="0.2">
      <c r="B23" s="1131" t="s">
        <v>77</v>
      </c>
      <c r="C23" s="1141" t="s">
        <v>332</v>
      </c>
      <c r="D23" s="1141"/>
      <c r="E23" s="1141"/>
      <c r="F23" s="1141" t="s">
        <v>222</v>
      </c>
      <c r="G23" s="1141"/>
      <c r="H23" s="1133"/>
    </row>
    <row r="24" spans="2:35" ht="15" customHeight="1" x14ac:dyDescent="0.2">
      <c r="B24" s="1143"/>
      <c r="C24" s="325" t="s">
        <v>78</v>
      </c>
      <c r="D24" s="1137" t="s">
        <v>79</v>
      </c>
      <c r="E24" s="1137"/>
      <c r="F24" s="325" t="s">
        <v>78</v>
      </c>
      <c r="G24" s="1137" t="s">
        <v>79</v>
      </c>
      <c r="H24" s="1127"/>
    </row>
    <row r="25" spans="2:35" ht="30" customHeight="1" x14ac:dyDescent="0.2">
      <c r="B25" s="1144"/>
      <c r="C25" s="1138" t="s">
        <v>326</v>
      </c>
      <c r="D25" s="1138"/>
      <c r="E25" s="16" t="s">
        <v>82</v>
      </c>
      <c r="F25" s="1138" t="s">
        <v>326</v>
      </c>
      <c r="G25" s="1138"/>
      <c r="H25" s="17" t="s">
        <v>82</v>
      </c>
    </row>
    <row r="26" spans="2:35" ht="15" customHeight="1" x14ac:dyDescent="0.2">
      <c r="B26" s="144" t="str">
        <f>Index!$B$4</f>
        <v>England</v>
      </c>
      <c r="C26" s="193"/>
      <c r="D26" s="122"/>
      <c r="E26" s="105"/>
      <c r="F26" s="105"/>
      <c r="G26" s="194"/>
      <c r="H26" s="194"/>
    </row>
    <row r="27" spans="2:35" ht="15" customHeight="1" x14ac:dyDescent="0.2">
      <c r="B27" s="118" t="s">
        <v>105</v>
      </c>
      <c r="C27" s="108">
        <v>8617.6839999999993</v>
      </c>
      <c r="D27" s="108">
        <v>164011.03200000001</v>
      </c>
      <c r="E27" s="119">
        <v>1.578299008253101</v>
      </c>
      <c r="F27" s="108">
        <v>9281.9560000000001</v>
      </c>
      <c r="G27" s="108">
        <v>172791.905</v>
      </c>
      <c r="H27" s="120">
        <v>1.5038884812547442</v>
      </c>
    </row>
    <row r="28" spans="2:35" ht="15" customHeight="1" x14ac:dyDescent="0.2">
      <c r="B28" s="28" t="s">
        <v>94</v>
      </c>
      <c r="C28" s="110">
        <v>3308.8470000000002</v>
      </c>
      <c r="D28" s="110">
        <v>49316.161</v>
      </c>
      <c r="E28" s="111">
        <v>3.5430475689876331</v>
      </c>
      <c r="F28" s="110">
        <v>3464.3829999999998</v>
      </c>
      <c r="G28" s="110">
        <v>50788.785000000003</v>
      </c>
      <c r="H28" s="112">
        <v>3.4759029897187403</v>
      </c>
    </row>
    <row r="29" spans="2:35" ht="15" customHeight="1" x14ac:dyDescent="0.2">
      <c r="B29" s="28" t="s">
        <v>95</v>
      </c>
      <c r="C29" s="110">
        <v>2717.9780000000001</v>
      </c>
      <c r="D29" s="110">
        <v>18556.862000000001</v>
      </c>
      <c r="E29" s="111">
        <v>6.2541074817394477</v>
      </c>
      <c r="F29" s="110">
        <v>2968.9229999999998</v>
      </c>
      <c r="G29" s="110">
        <v>18832.446</v>
      </c>
      <c r="H29" s="112">
        <v>5.8818767270574694</v>
      </c>
    </row>
    <row r="30" spans="2:35" ht="15" customHeight="1" x14ac:dyDescent="0.2">
      <c r="B30" s="28" t="s">
        <v>96</v>
      </c>
      <c r="C30" s="110">
        <v>142.68799999999999</v>
      </c>
      <c r="D30" s="110">
        <v>13955.165000000001</v>
      </c>
      <c r="E30" s="111">
        <v>5.7492894566678601</v>
      </c>
      <c r="F30" s="110">
        <v>150.45500000000001</v>
      </c>
      <c r="G30" s="110">
        <v>13726.536</v>
      </c>
      <c r="H30" s="112">
        <v>5.7030160209065999</v>
      </c>
    </row>
    <row r="31" spans="2:35" ht="15" customHeight="1" x14ac:dyDescent="0.2">
      <c r="B31" s="28" t="s">
        <v>97</v>
      </c>
      <c r="C31" s="110">
        <v>403.29899999999998</v>
      </c>
      <c r="D31" s="110">
        <v>28038.797999999999</v>
      </c>
      <c r="E31" s="111">
        <v>4.1522476212237756</v>
      </c>
      <c r="F31" s="110">
        <v>426.245</v>
      </c>
      <c r="G31" s="110">
        <v>28821.248</v>
      </c>
      <c r="H31" s="112">
        <v>4.1412252781077035</v>
      </c>
    </row>
    <row r="32" spans="2:35" ht="15" customHeight="1" x14ac:dyDescent="0.2">
      <c r="B32" s="28" t="s">
        <v>98</v>
      </c>
      <c r="C32" s="110">
        <v>492.108</v>
      </c>
      <c r="D32" s="110">
        <v>11060.636</v>
      </c>
      <c r="E32" s="111">
        <v>4.4098054483549367</v>
      </c>
      <c r="F32" s="110">
        <v>553.50800000000004</v>
      </c>
      <c r="G32" s="110">
        <v>12158.37</v>
      </c>
      <c r="H32" s="112">
        <v>4.2353834284856395</v>
      </c>
    </row>
    <row r="33" spans="2:8" ht="15" customHeight="1" x14ac:dyDescent="0.2">
      <c r="B33" s="28" t="s">
        <v>248</v>
      </c>
      <c r="C33" s="110">
        <v>123.65</v>
      </c>
      <c r="D33" s="110">
        <v>7991.0640000000003</v>
      </c>
      <c r="E33" s="111">
        <v>8.4577333146362648</v>
      </c>
      <c r="F33" s="110">
        <v>135.268</v>
      </c>
      <c r="G33" s="110">
        <v>8709.5840000000007</v>
      </c>
      <c r="H33" s="112">
        <v>8.3036326321006317</v>
      </c>
    </row>
    <row r="34" spans="2:8" ht="15" customHeight="1" x14ac:dyDescent="0.2">
      <c r="B34" s="28" t="s">
        <v>100</v>
      </c>
      <c r="C34" s="110">
        <v>48.994</v>
      </c>
      <c r="D34" s="110">
        <v>5010.0209999999997</v>
      </c>
      <c r="E34" s="111">
        <v>5.4173414334690797</v>
      </c>
      <c r="F34" s="110">
        <v>54.686999999999998</v>
      </c>
      <c r="G34" s="110">
        <v>5791.2129999999997</v>
      </c>
      <c r="H34" s="112">
        <v>5.0722802313668502</v>
      </c>
    </row>
    <row r="35" spans="2:8" ht="15" customHeight="1" x14ac:dyDescent="0.2">
      <c r="B35" s="28" t="s">
        <v>101</v>
      </c>
      <c r="C35" s="110">
        <v>0.104</v>
      </c>
      <c r="D35" s="110">
        <v>2838.4470000000001</v>
      </c>
      <c r="E35" s="111">
        <v>6.0677913924499771</v>
      </c>
      <c r="F35" s="110">
        <v>0.14499999999999999</v>
      </c>
      <c r="G35" s="110">
        <v>3509.2260000000001</v>
      </c>
      <c r="H35" s="112">
        <v>5.8635779769950451</v>
      </c>
    </row>
    <row r="36" spans="2:8" ht="15" customHeight="1" x14ac:dyDescent="0.2">
      <c r="B36" s="28" t="s">
        <v>102</v>
      </c>
      <c r="C36" s="110">
        <v>65.582999999999998</v>
      </c>
      <c r="D36" s="110">
        <v>6176.8689999999997</v>
      </c>
      <c r="E36" s="111">
        <v>8.1482158093628669</v>
      </c>
      <c r="F36" s="110">
        <v>70.236000000000004</v>
      </c>
      <c r="G36" s="110">
        <v>6585.5190000000002</v>
      </c>
      <c r="H36" s="112">
        <v>7.89379476796117</v>
      </c>
    </row>
    <row r="37" spans="2:8" ht="15" customHeight="1" x14ac:dyDescent="0.2">
      <c r="B37" s="28" t="s">
        <v>103</v>
      </c>
      <c r="C37" s="110">
        <v>0.90900000000000003</v>
      </c>
      <c r="D37" s="110">
        <v>5001.7209999999995</v>
      </c>
      <c r="E37" s="111">
        <v>7.7067830869705212</v>
      </c>
      <c r="F37" s="110">
        <v>1.179</v>
      </c>
      <c r="G37" s="110">
        <v>5785.991</v>
      </c>
      <c r="H37" s="112">
        <v>7.1810774891171851</v>
      </c>
    </row>
    <row r="38" spans="2:8" ht="15" customHeight="1" x14ac:dyDescent="0.2">
      <c r="B38" s="29" t="s">
        <v>104</v>
      </c>
      <c r="C38" s="114">
        <v>1313.527</v>
      </c>
      <c r="D38" s="114">
        <v>16144.562</v>
      </c>
      <c r="E38" s="115">
        <v>5.306109027646345</v>
      </c>
      <c r="F38" s="114">
        <v>1456.9259999999999</v>
      </c>
      <c r="G38" s="114">
        <v>18110.679</v>
      </c>
      <c r="H38" s="116">
        <v>4.9166520004808119</v>
      </c>
    </row>
    <row r="41" spans="2:8" ht="15" customHeight="1" x14ac:dyDescent="0.2">
      <c r="B41" s="1131" t="s">
        <v>77</v>
      </c>
      <c r="C41" s="1141" t="s">
        <v>225</v>
      </c>
      <c r="D41" s="1141"/>
      <c r="E41" s="1141"/>
      <c r="F41" s="1141" t="s">
        <v>226</v>
      </c>
      <c r="G41" s="1141"/>
      <c r="H41" s="1133"/>
    </row>
    <row r="42" spans="2:8" ht="15" customHeight="1" x14ac:dyDescent="0.2">
      <c r="B42" s="1143"/>
      <c r="C42" s="325" t="s">
        <v>78</v>
      </c>
      <c r="D42" s="1137" t="s">
        <v>79</v>
      </c>
      <c r="E42" s="1137"/>
      <c r="F42" s="325" t="s">
        <v>78</v>
      </c>
      <c r="G42" s="1137" t="s">
        <v>79</v>
      </c>
      <c r="H42" s="1127"/>
    </row>
    <row r="43" spans="2:8" ht="30" customHeight="1" x14ac:dyDescent="0.2">
      <c r="B43" s="1144"/>
      <c r="C43" s="1138" t="s">
        <v>326</v>
      </c>
      <c r="D43" s="1138"/>
      <c r="E43" s="16" t="s">
        <v>82</v>
      </c>
      <c r="F43" s="1138" t="s">
        <v>326</v>
      </c>
      <c r="G43" s="1138"/>
      <c r="H43" s="17" t="s">
        <v>82</v>
      </c>
    </row>
    <row r="44" spans="2:8" ht="15" customHeight="1" x14ac:dyDescent="0.2">
      <c r="B44" s="144" t="str">
        <f>Index!$B$4</f>
        <v>England</v>
      </c>
      <c r="C44" s="105"/>
      <c r="D44" s="122"/>
      <c r="E44" s="194"/>
      <c r="F44" s="105"/>
      <c r="G44" s="194"/>
      <c r="H44" s="194"/>
    </row>
    <row r="45" spans="2:8" ht="15" customHeight="1" x14ac:dyDescent="0.2">
      <c r="B45" s="118" t="s">
        <v>105</v>
      </c>
      <c r="C45" s="108">
        <v>9826.41</v>
      </c>
      <c r="D45" s="108">
        <v>186378.573</v>
      </c>
      <c r="E45" s="119">
        <v>1.4548626479386337</v>
      </c>
      <c r="F45" s="108">
        <v>10432.989</v>
      </c>
      <c r="G45" s="108">
        <v>203264.83799999999</v>
      </c>
      <c r="H45" s="120">
        <v>1.3836379363463021</v>
      </c>
    </row>
    <row r="46" spans="2:8" ht="15" customHeight="1" x14ac:dyDescent="0.2">
      <c r="B46" s="28" t="s">
        <v>94</v>
      </c>
      <c r="C46" s="110">
        <v>3574.7109999999998</v>
      </c>
      <c r="D46" s="110">
        <v>52887.565000000002</v>
      </c>
      <c r="E46" s="111">
        <v>3.4224087851449498</v>
      </c>
      <c r="F46" s="110">
        <v>3711.6109999999999</v>
      </c>
      <c r="G46" s="110">
        <v>54961.809000000001</v>
      </c>
      <c r="H46" s="112">
        <v>3.3886060614661724</v>
      </c>
    </row>
    <row r="47" spans="2:8" ht="15" customHeight="1" x14ac:dyDescent="0.2">
      <c r="B47" s="28" t="s">
        <v>95</v>
      </c>
      <c r="C47" s="110">
        <v>3162.5520000000001</v>
      </c>
      <c r="D47" s="110">
        <v>19518.157999999999</v>
      </c>
      <c r="E47" s="111">
        <v>5.820011524788379</v>
      </c>
      <c r="F47" s="110">
        <v>3357.9029999999998</v>
      </c>
      <c r="G47" s="110">
        <v>20414.814999999999</v>
      </c>
      <c r="H47" s="112">
        <v>5.738430944744052</v>
      </c>
    </row>
    <row r="48" spans="2:8" ht="15" customHeight="1" x14ac:dyDescent="0.2">
      <c r="B48" s="28" t="s">
        <v>96</v>
      </c>
      <c r="C48" s="110">
        <v>153.11099999999999</v>
      </c>
      <c r="D48" s="110">
        <v>14085.023999999999</v>
      </c>
      <c r="E48" s="111">
        <v>5.7663420972135979</v>
      </c>
      <c r="F48" s="110">
        <v>157.19999999999999</v>
      </c>
      <c r="G48" s="110">
        <v>15473.608</v>
      </c>
      <c r="H48" s="112">
        <v>5.5114429711288375</v>
      </c>
    </row>
    <row r="49" spans="2:8" ht="15" customHeight="1" x14ac:dyDescent="0.2">
      <c r="B49" s="28" t="s">
        <v>97</v>
      </c>
      <c r="C49" s="110">
        <v>438.166</v>
      </c>
      <c r="D49" s="110">
        <v>30591.260999999999</v>
      </c>
      <c r="E49" s="111">
        <v>4.0864789166305293</v>
      </c>
      <c r="F49" s="110">
        <v>457.09699999999998</v>
      </c>
      <c r="G49" s="110">
        <v>33430.281999999999</v>
      </c>
      <c r="H49" s="112">
        <v>3.9101149317796842</v>
      </c>
    </row>
    <row r="50" spans="2:8" ht="15" customHeight="1" x14ac:dyDescent="0.2">
      <c r="B50" s="28" t="s">
        <v>98</v>
      </c>
      <c r="C50" s="110">
        <v>615.05999999999995</v>
      </c>
      <c r="D50" s="110">
        <v>13624.061</v>
      </c>
      <c r="E50" s="111">
        <v>4.21518991158527</v>
      </c>
      <c r="F50" s="110">
        <v>684.803</v>
      </c>
      <c r="G50" s="110">
        <v>15458.166999999999</v>
      </c>
      <c r="H50" s="112">
        <v>4.1763443913431795</v>
      </c>
    </row>
    <row r="51" spans="2:8" ht="15" customHeight="1" x14ac:dyDescent="0.2">
      <c r="B51" s="28" t="s">
        <v>248</v>
      </c>
      <c r="C51" s="110">
        <v>142.16399999999999</v>
      </c>
      <c r="D51" s="110">
        <v>9631.0059999999994</v>
      </c>
      <c r="E51" s="111">
        <v>8.1586666119391769</v>
      </c>
      <c r="F51" s="110">
        <v>150.96100000000001</v>
      </c>
      <c r="G51" s="110">
        <v>10540.735000000001</v>
      </c>
      <c r="H51" s="112">
        <v>8.0741968608946824</v>
      </c>
    </row>
    <row r="52" spans="2:8" ht="15" customHeight="1" x14ac:dyDescent="0.2">
      <c r="B52" s="28" t="s">
        <v>100</v>
      </c>
      <c r="C52" s="110">
        <v>60.619</v>
      </c>
      <c r="D52" s="110">
        <v>6681.4210000000003</v>
      </c>
      <c r="E52" s="111">
        <v>4.7768646216219883</v>
      </c>
      <c r="F52" s="110">
        <v>66.12</v>
      </c>
      <c r="G52" s="110">
        <v>7609.5290000000005</v>
      </c>
      <c r="H52" s="112">
        <v>4.555253220847769</v>
      </c>
    </row>
    <row r="53" spans="2:8" ht="15" customHeight="1" x14ac:dyDescent="0.2">
      <c r="B53" s="28" t="s">
        <v>101</v>
      </c>
      <c r="C53" s="110">
        <v>0.19500000000000001</v>
      </c>
      <c r="D53" s="110">
        <v>4406.0529999999999</v>
      </c>
      <c r="E53" s="111">
        <v>5.6246552835740271</v>
      </c>
      <c r="F53" s="110">
        <v>0.246</v>
      </c>
      <c r="G53" s="110">
        <v>5437.0190000000002</v>
      </c>
      <c r="H53" s="112">
        <v>5.5409385397142792</v>
      </c>
    </row>
    <row r="54" spans="2:8" ht="15" customHeight="1" x14ac:dyDescent="0.2">
      <c r="B54" s="28" t="s">
        <v>102</v>
      </c>
      <c r="C54" s="110">
        <v>74.290999999999997</v>
      </c>
      <c r="D54" s="110">
        <v>7176.6620000000003</v>
      </c>
      <c r="E54" s="111">
        <v>7.657807241048161</v>
      </c>
      <c r="F54" s="110">
        <v>78.206000000000003</v>
      </c>
      <c r="G54" s="110">
        <v>7799.1670000000004</v>
      </c>
      <c r="H54" s="112">
        <v>7.4438684260386472</v>
      </c>
    </row>
    <row r="55" spans="2:8" ht="15" customHeight="1" x14ac:dyDescent="0.2">
      <c r="B55" s="28" t="s">
        <v>103</v>
      </c>
      <c r="C55" s="110">
        <v>1.6</v>
      </c>
      <c r="D55" s="110">
        <v>6849.9170000000004</v>
      </c>
      <c r="E55" s="111">
        <v>6.7376382119329863</v>
      </c>
      <c r="F55" s="110">
        <v>2.11</v>
      </c>
      <c r="G55" s="110">
        <v>7973.4870000000001</v>
      </c>
      <c r="H55" s="112">
        <v>6.4266996097320073</v>
      </c>
    </row>
    <row r="56" spans="2:8" ht="15" customHeight="1" x14ac:dyDescent="0.2">
      <c r="B56" s="29" t="s">
        <v>104</v>
      </c>
      <c r="C56" s="114">
        <v>1603.941</v>
      </c>
      <c r="D56" s="114">
        <v>20878.004000000001</v>
      </c>
      <c r="E56" s="115">
        <v>4.5472175390416343</v>
      </c>
      <c r="F56" s="114">
        <v>1766.7360000000001</v>
      </c>
      <c r="G56" s="114">
        <v>24072.972000000002</v>
      </c>
      <c r="H56" s="116">
        <v>4.2154241850861549</v>
      </c>
    </row>
    <row r="59" spans="2:8" ht="15" customHeight="1" x14ac:dyDescent="0.2">
      <c r="B59" s="1131" t="s">
        <v>77</v>
      </c>
      <c r="C59" s="1141" t="s">
        <v>227</v>
      </c>
      <c r="D59" s="1141"/>
      <c r="E59" s="1141"/>
      <c r="F59" s="1141" t="s">
        <v>228</v>
      </c>
      <c r="G59" s="1141"/>
      <c r="H59" s="1133"/>
    </row>
    <row r="60" spans="2:8" ht="15" customHeight="1" x14ac:dyDescent="0.2">
      <c r="B60" s="1143"/>
      <c r="C60" s="325" t="s">
        <v>78</v>
      </c>
      <c r="D60" s="1137" t="s">
        <v>79</v>
      </c>
      <c r="E60" s="1137"/>
      <c r="F60" s="325" t="s">
        <v>78</v>
      </c>
      <c r="G60" s="1137" t="s">
        <v>79</v>
      </c>
      <c r="H60" s="1127"/>
    </row>
    <row r="61" spans="2:8" ht="30" customHeight="1" x14ac:dyDescent="0.2">
      <c r="B61" s="1144"/>
      <c r="C61" s="1138" t="s">
        <v>326</v>
      </c>
      <c r="D61" s="1138"/>
      <c r="E61" s="16" t="s">
        <v>82</v>
      </c>
      <c r="F61" s="1138" t="s">
        <v>326</v>
      </c>
      <c r="G61" s="1138"/>
      <c r="H61" s="17" t="s">
        <v>82</v>
      </c>
    </row>
    <row r="62" spans="2:8" ht="15" customHeight="1" x14ac:dyDescent="0.2">
      <c r="B62" s="144" t="str">
        <f>Index!$B$4</f>
        <v>England</v>
      </c>
      <c r="C62" s="105"/>
      <c r="D62" s="194"/>
      <c r="E62" s="194"/>
      <c r="F62" s="105"/>
      <c r="G62" s="194"/>
      <c r="H62" s="194"/>
    </row>
    <row r="63" spans="2:8" ht="15" customHeight="1" x14ac:dyDescent="0.2">
      <c r="B63" s="118" t="s">
        <v>105</v>
      </c>
      <c r="C63" s="108">
        <v>10912.287</v>
      </c>
      <c r="D63" s="108">
        <v>219510.06700000001</v>
      </c>
      <c r="E63" s="119">
        <v>1.3315926808227021</v>
      </c>
      <c r="F63" s="108">
        <v>11321.800999999999</v>
      </c>
      <c r="G63" s="108">
        <v>235932.50200000001</v>
      </c>
      <c r="H63" s="120">
        <v>1.2842906648651937</v>
      </c>
    </row>
    <row r="64" spans="2:8" ht="15" customHeight="1" x14ac:dyDescent="0.2">
      <c r="B64" s="28" t="s">
        <v>94</v>
      </c>
      <c r="C64" s="110">
        <v>3818.174</v>
      </c>
      <c r="D64" s="110">
        <v>56922.347999999998</v>
      </c>
      <c r="E64" s="111">
        <v>3.3717646719566514</v>
      </c>
      <c r="F64" s="110">
        <v>3935.6529999999998</v>
      </c>
      <c r="G64" s="110">
        <v>59557.341</v>
      </c>
      <c r="H64" s="112">
        <v>3.3258295386012611</v>
      </c>
    </row>
    <row r="65" spans="2:8" ht="15" customHeight="1" x14ac:dyDescent="0.2">
      <c r="B65" s="28" t="s">
        <v>95</v>
      </c>
      <c r="C65" s="110">
        <v>3487.9079999999999</v>
      </c>
      <c r="D65" s="110">
        <v>21259.245999999999</v>
      </c>
      <c r="E65" s="111">
        <v>5.7094678393349838</v>
      </c>
      <c r="F65" s="110">
        <v>3520.7719999999999</v>
      </c>
      <c r="G65" s="110">
        <v>22211.414000000001</v>
      </c>
      <c r="H65" s="112">
        <v>5.673080515095049</v>
      </c>
    </row>
    <row r="66" spans="2:8" ht="15" customHeight="1" x14ac:dyDescent="0.2">
      <c r="B66" s="28" t="s">
        <v>96</v>
      </c>
      <c r="C66" s="110">
        <v>158.22</v>
      </c>
      <c r="D66" s="110">
        <v>16850.041000000001</v>
      </c>
      <c r="E66" s="111">
        <v>5.289775128608043</v>
      </c>
      <c r="F66" s="110">
        <v>163.4</v>
      </c>
      <c r="G66" s="110">
        <v>18158.072</v>
      </c>
      <c r="H66" s="112">
        <v>5.109968904779719</v>
      </c>
    </row>
    <row r="67" spans="2:8" ht="15" customHeight="1" x14ac:dyDescent="0.2">
      <c r="B67" s="28" t="s">
        <v>97</v>
      </c>
      <c r="C67" s="110">
        <v>471.59300000000002</v>
      </c>
      <c r="D67" s="110">
        <v>36169.839</v>
      </c>
      <c r="E67" s="111">
        <v>3.7634107907018923</v>
      </c>
      <c r="F67" s="110">
        <v>497.00700000000001</v>
      </c>
      <c r="G67" s="110">
        <v>38729.949999999997</v>
      </c>
      <c r="H67" s="112">
        <v>3.6430407244375678</v>
      </c>
    </row>
    <row r="68" spans="2:8" ht="15" customHeight="1" x14ac:dyDescent="0.2">
      <c r="B68" s="28" t="s">
        <v>98</v>
      </c>
      <c r="C68" s="110">
        <v>750.46500000000003</v>
      </c>
      <c r="D68" s="110">
        <v>17174.746999999999</v>
      </c>
      <c r="E68" s="111">
        <v>4.1325347074180288</v>
      </c>
      <c r="F68" s="110">
        <v>815.54899999999998</v>
      </c>
      <c r="G68" s="110">
        <v>18800.781999999999</v>
      </c>
      <c r="H68" s="112">
        <v>4.0777438206582541</v>
      </c>
    </row>
    <row r="69" spans="2:8" ht="15" customHeight="1" x14ac:dyDescent="0.2">
      <c r="B69" s="28" t="s">
        <v>248</v>
      </c>
      <c r="C69" s="110">
        <v>153.87799999999999</v>
      </c>
      <c r="D69" s="110">
        <v>11290.187</v>
      </c>
      <c r="E69" s="111">
        <v>8.0079637713725518</v>
      </c>
      <c r="F69" s="110">
        <v>160.822</v>
      </c>
      <c r="G69" s="110">
        <v>12125.806</v>
      </c>
      <c r="H69" s="112">
        <v>7.9725803240896118</v>
      </c>
    </row>
    <row r="70" spans="2:8" ht="15" customHeight="1" x14ac:dyDescent="0.2">
      <c r="B70" s="28" t="s">
        <v>100</v>
      </c>
      <c r="C70" s="110">
        <v>71.075000000000003</v>
      </c>
      <c r="D70" s="110">
        <v>8453.7389999999996</v>
      </c>
      <c r="E70" s="111">
        <v>4.4082542382652807</v>
      </c>
      <c r="F70" s="110">
        <v>75.403999999999996</v>
      </c>
      <c r="G70" s="110">
        <v>9120.7860000000001</v>
      </c>
      <c r="H70" s="112">
        <v>4.3408688237286341</v>
      </c>
    </row>
    <row r="71" spans="2:8" ht="15" customHeight="1" x14ac:dyDescent="0.2">
      <c r="B71" s="28" t="s">
        <v>101</v>
      </c>
      <c r="C71" s="110">
        <v>0.29699999999999999</v>
      </c>
      <c r="D71" s="110">
        <v>6524.4009999999998</v>
      </c>
      <c r="E71" s="111">
        <v>5.6080749986653391</v>
      </c>
      <c r="F71" s="110">
        <v>0.34599999999999997</v>
      </c>
      <c r="G71" s="110">
        <v>7616.0379999999996</v>
      </c>
      <c r="H71" s="112">
        <v>5.8357300898776154</v>
      </c>
    </row>
    <row r="72" spans="2:8" ht="15" customHeight="1" x14ac:dyDescent="0.2">
      <c r="B72" s="28" t="s">
        <v>102</v>
      </c>
      <c r="C72" s="110">
        <v>81.106999999999999</v>
      </c>
      <c r="D72" s="110">
        <v>8355.8639999999996</v>
      </c>
      <c r="E72" s="111">
        <v>7.2983822746213685</v>
      </c>
      <c r="F72" s="110">
        <v>84.316999999999993</v>
      </c>
      <c r="G72" s="110">
        <v>8843.7430000000004</v>
      </c>
      <c r="H72" s="112">
        <v>7.1904759401884029</v>
      </c>
    </row>
    <row r="73" spans="2:8" ht="15" customHeight="1" x14ac:dyDescent="0.2">
      <c r="B73" s="28" t="s">
        <v>103</v>
      </c>
      <c r="C73" s="110">
        <v>2.5760000000000001</v>
      </c>
      <c r="D73" s="110">
        <v>9104.7289999999994</v>
      </c>
      <c r="E73" s="111">
        <v>6.2117750979204391</v>
      </c>
      <c r="F73" s="110">
        <v>3.0750000000000002</v>
      </c>
      <c r="G73" s="110">
        <v>10223.15</v>
      </c>
      <c r="H73" s="112">
        <v>6.0609063823125267</v>
      </c>
    </row>
    <row r="74" spans="2:8" ht="15" customHeight="1" x14ac:dyDescent="0.2">
      <c r="B74" s="29" t="s">
        <v>104</v>
      </c>
      <c r="C74" s="114">
        <v>1916.9939999999999</v>
      </c>
      <c r="D74" s="114">
        <v>27248.449000000001</v>
      </c>
      <c r="E74" s="115">
        <v>3.9850602339447567</v>
      </c>
      <c r="F74" s="114">
        <v>2065.4569999999999</v>
      </c>
      <c r="G74" s="114">
        <v>30357.760999999999</v>
      </c>
      <c r="H74" s="116">
        <v>3.8180694424898372</v>
      </c>
    </row>
    <row r="77" spans="2:8" ht="15" customHeight="1" x14ac:dyDescent="0.2">
      <c r="B77" s="1131" t="s">
        <v>77</v>
      </c>
      <c r="C77" s="1141" t="s">
        <v>333</v>
      </c>
      <c r="D77" s="1141"/>
      <c r="E77" s="1141"/>
      <c r="F77" s="1141" t="s">
        <v>334</v>
      </c>
      <c r="G77" s="1141"/>
      <c r="H77" s="1133"/>
    </row>
    <row r="78" spans="2:8" ht="15" customHeight="1" x14ac:dyDescent="0.2">
      <c r="B78" s="1143"/>
      <c r="C78" s="325" t="s">
        <v>78</v>
      </c>
      <c r="D78" s="1137" t="s">
        <v>79</v>
      </c>
      <c r="E78" s="1137"/>
      <c r="F78" s="325" t="s">
        <v>78</v>
      </c>
      <c r="G78" s="1137" t="s">
        <v>79</v>
      </c>
      <c r="H78" s="1127"/>
    </row>
    <row r="79" spans="2:8" ht="30" customHeight="1" x14ac:dyDescent="0.2">
      <c r="B79" s="1144"/>
      <c r="C79" s="1138" t="s">
        <v>326</v>
      </c>
      <c r="D79" s="1138"/>
      <c r="E79" s="16" t="s">
        <v>82</v>
      </c>
      <c r="F79" s="1138" t="s">
        <v>326</v>
      </c>
      <c r="G79" s="1138"/>
      <c r="H79" s="17" t="s">
        <v>82</v>
      </c>
    </row>
    <row r="80" spans="2:8" ht="15" customHeight="1" x14ac:dyDescent="0.2">
      <c r="B80" s="144" t="str">
        <f>Index!$B$4</f>
        <v>England</v>
      </c>
      <c r="C80" s="105"/>
      <c r="D80" s="122"/>
      <c r="E80" s="194"/>
      <c r="F80" s="105"/>
      <c r="G80" s="194"/>
      <c r="H80" s="194"/>
    </row>
    <row r="81" spans="2:8" ht="15" customHeight="1" x14ac:dyDescent="0.2">
      <c r="B81" s="118" t="s">
        <v>105</v>
      </c>
      <c r="C81" s="108">
        <v>11441.243</v>
      </c>
      <c r="D81" s="108">
        <v>250368.239</v>
      </c>
      <c r="E81" s="119">
        <v>1.251512742440601</v>
      </c>
      <c r="F81" s="108">
        <v>11553.438</v>
      </c>
      <c r="G81" s="108">
        <v>263378.76799999998</v>
      </c>
      <c r="H81" s="120">
        <v>1.2251823188361524</v>
      </c>
    </row>
    <row r="82" spans="2:8" ht="15" customHeight="1" x14ac:dyDescent="0.2">
      <c r="B82" s="28" t="s">
        <v>94</v>
      </c>
      <c r="C82" s="110">
        <v>3917</v>
      </c>
      <c r="D82" s="110">
        <v>62024.754999999997</v>
      </c>
      <c r="E82" s="111">
        <v>3.2827701131226972</v>
      </c>
      <c r="F82" s="110">
        <v>3842.174</v>
      </c>
      <c r="G82" s="110">
        <v>64382.745000000003</v>
      </c>
      <c r="H82" s="112">
        <v>3.241843257642036</v>
      </c>
    </row>
    <row r="83" spans="2:8" ht="15" customHeight="1" x14ac:dyDescent="0.2">
      <c r="B83" s="28" t="s">
        <v>95</v>
      </c>
      <c r="C83" s="110">
        <v>3520.5129999999999</v>
      </c>
      <c r="D83" s="110">
        <v>22889.754000000001</v>
      </c>
      <c r="E83" s="111">
        <v>5.6853908522766954</v>
      </c>
      <c r="F83" s="110">
        <v>3610.4659999999999</v>
      </c>
      <c r="G83" s="110">
        <v>23626.367999999999</v>
      </c>
      <c r="H83" s="112">
        <v>5.6515917797363162</v>
      </c>
    </row>
    <row r="84" spans="2:8" ht="15" customHeight="1" x14ac:dyDescent="0.2">
      <c r="B84" s="28" t="s">
        <v>96</v>
      </c>
      <c r="C84" s="110">
        <v>161.22300000000001</v>
      </c>
      <c r="D84" s="110">
        <v>19253.775000000001</v>
      </c>
      <c r="E84" s="111">
        <v>4.9904888672650713</v>
      </c>
      <c r="F84" s="110">
        <v>157.71100000000001</v>
      </c>
      <c r="G84" s="110">
        <v>20178.126</v>
      </c>
      <c r="H84" s="112">
        <v>4.902049456537009</v>
      </c>
    </row>
    <row r="85" spans="2:8" ht="15" customHeight="1" x14ac:dyDescent="0.2">
      <c r="B85" s="28" t="s">
        <v>97</v>
      </c>
      <c r="C85" s="110">
        <v>486.79</v>
      </c>
      <c r="D85" s="110">
        <v>40860.9</v>
      </c>
      <c r="E85" s="111">
        <v>3.5561479768580546</v>
      </c>
      <c r="F85" s="110">
        <v>455.46300000000002</v>
      </c>
      <c r="G85" s="110">
        <v>42656.154999999999</v>
      </c>
      <c r="H85" s="112">
        <v>3.489728101278637</v>
      </c>
    </row>
    <row r="86" spans="2:8" ht="15" customHeight="1" x14ac:dyDescent="0.2">
      <c r="B86" s="28" t="s">
        <v>98</v>
      </c>
      <c r="C86" s="110">
        <v>867.45299999999997</v>
      </c>
      <c r="D86" s="110">
        <v>20154.084999999999</v>
      </c>
      <c r="E86" s="111">
        <v>4.0403428019124581</v>
      </c>
      <c r="F86" s="110">
        <v>916.90499999999997</v>
      </c>
      <c r="G86" s="110">
        <v>21286.355</v>
      </c>
      <c r="H86" s="112">
        <v>4.0065672750412622</v>
      </c>
    </row>
    <row r="87" spans="2:8" ht="15" customHeight="1" x14ac:dyDescent="0.2">
      <c r="B87" s="28" t="s">
        <v>248</v>
      </c>
      <c r="C87" s="110">
        <v>163.28</v>
      </c>
      <c r="D87" s="110">
        <v>12943.550999999999</v>
      </c>
      <c r="E87" s="111">
        <v>7.9779612376831546</v>
      </c>
      <c r="F87" s="110">
        <v>167.036</v>
      </c>
      <c r="G87" s="110">
        <v>13627.882</v>
      </c>
      <c r="H87" s="112">
        <v>7.9890849836228446</v>
      </c>
    </row>
    <row r="88" spans="2:8" ht="15" customHeight="1" x14ac:dyDescent="0.2">
      <c r="B88" s="28" t="s">
        <v>100</v>
      </c>
      <c r="C88" s="110">
        <v>78.887</v>
      </c>
      <c r="D88" s="110">
        <v>9701.9419999999991</v>
      </c>
      <c r="E88" s="111">
        <v>4.2895298138621127</v>
      </c>
      <c r="F88" s="110">
        <v>81.846999999999994</v>
      </c>
      <c r="G88" s="110">
        <v>10126.736000000001</v>
      </c>
      <c r="H88" s="112">
        <v>4.2662643847344919</v>
      </c>
    </row>
    <row r="89" spans="2:8" ht="15" customHeight="1" x14ac:dyDescent="0.2">
      <c r="B89" s="28" t="s">
        <v>101</v>
      </c>
      <c r="C89" s="110">
        <v>0.39400000000000002</v>
      </c>
      <c r="D89" s="110">
        <v>8681.6129999999994</v>
      </c>
      <c r="E89" s="111">
        <v>6.0798744212608833</v>
      </c>
      <c r="F89" s="110">
        <v>0.438</v>
      </c>
      <c r="G89" s="110">
        <v>9707.8459999999995</v>
      </c>
      <c r="H89" s="112">
        <v>6.3039955361257531</v>
      </c>
    </row>
    <row r="90" spans="2:8" ht="15" customHeight="1" x14ac:dyDescent="0.2">
      <c r="B90" s="28" t="s">
        <v>102</v>
      </c>
      <c r="C90" s="110">
        <v>85.738</v>
      </c>
      <c r="D90" s="110">
        <v>9242.1029999999992</v>
      </c>
      <c r="E90" s="111">
        <v>7.1163104397218957</v>
      </c>
      <c r="F90" s="110">
        <v>86.441999999999993</v>
      </c>
      <c r="G90" s="110">
        <v>9551.4120000000003</v>
      </c>
      <c r="H90" s="112">
        <v>7.0636001178602337</v>
      </c>
    </row>
    <row r="91" spans="2:8" ht="15" customHeight="1" x14ac:dyDescent="0.2">
      <c r="B91" s="28" t="s">
        <v>103</v>
      </c>
      <c r="C91" s="110">
        <v>3.4910000000000001</v>
      </c>
      <c r="D91" s="110">
        <v>11292.45</v>
      </c>
      <c r="E91" s="111">
        <v>5.9632313415798501</v>
      </c>
      <c r="F91" s="110">
        <v>3.9260000000000002</v>
      </c>
      <c r="G91" s="110">
        <v>12321.143</v>
      </c>
      <c r="H91" s="112">
        <v>5.8919998579153177</v>
      </c>
    </row>
    <row r="92" spans="2:8" ht="15" customHeight="1" x14ac:dyDescent="0.2">
      <c r="B92" s="29" t="s">
        <v>104</v>
      </c>
      <c r="C92" s="114">
        <v>2156.473</v>
      </c>
      <c r="D92" s="114">
        <v>33130.656000000003</v>
      </c>
      <c r="E92" s="115">
        <v>3.7128415528549117</v>
      </c>
      <c r="F92" s="114">
        <v>2231.0320000000002</v>
      </c>
      <c r="G92" s="114">
        <v>35690.057999999997</v>
      </c>
      <c r="H92" s="116">
        <v>3.6374189327662205</v>
      </c>
    </row>
    <row r="95" spans="2:8" ht="15" customHeight="1" x14ac:dyDescent="0.2">
      <c r="B95" s="1131" t="s">
        <v>77</v>
      </c>
      <c r="C95" s="1141" t="s">
        <v>231</v>
      </c>
      <c r="D95" s="1141"/>
      <c r="E95" s="1141"/>
      <c r="F95" s="1141" t="s">
        <v>232</v>
      </c>
      <c r="G95" s="1141"/>
      <c r="H95" s="1133"/>
    </row>
    <row r="96" spans="2:8" ht="15" customHeight="1" x14ac:dyDescent="0.2">
      <c r="B96" s="1143"/>
      <c r="C96" s="325" t="s">
        <v>78</v>
      </c>
      <c r="D96" s="1137" t="s">
        <v>79</v>
      </c>
      <c r="E96" s="1137"/>
      <c r="F96" s="325" t="s">
        <v>78</v>
      </c>
      <c r="G96" s="1137" t="s">
        <v>79</v>
      </c>
      <c r="H96" s="1127"/>
    </row>
    <row r="97" spans="2:8" ht="30" customHeight="1" x14ac:dyDescent="0.2">
      <c r="B97" s="1144"/>
      <c r="C97" s="1138" t="s">
        <v>326</v>
      </c>
      <c r="D97" s="1138"/>
      <c r="E97" s="16" t="s">
        <v>82</v>
      </c>
      <c r="F97" s="1138" t="s">
        <v>326</v>
      </c>
      <c r="G97" s="1138"/>
      <c r="H97" s="17" t="s">
        <v>82</v>
      </c>
    </row>
    <row r="98" spans="2:8" ht="15" customHeight="1" x14ac:dyDescent="0.2">
      <c r="B98" s="144" t="str">
        <f>Index!$B$4</f>
        <v>England</v>
      </c>
      <c r="C98" s="105"/>
      <c r="D98" s="122"/>
      <c r="E98" s="194"/>
      <c r="F98" s="105"/>
      <c r="G98" s="194"/>
      <c r="H98" s="194"/>
    </row>
    <row r="99" spans="2:8" ht="15" customHeight="1" x14ac:dyDescent="0.2">
      <c r="B99" s="118" t="s">
        <v>105</v>
      </c>
      <c r="C99" s="108">
        <v>11802.027</v>
      </c>
      <c r="D99" s="108">
        <v>274992.53100000002</v>
      </c>
      <c r="E99" s="119">
        <v>1.2100511122405397</v>
      </c>
      <c r="F99" s="108">
        <v>12049.249</v>
      </c>
      <c r="G99" s="108">
        <v>284381.06400000001</v>
      </c>
      <c r="H99" s="120">
        <v>1.2116906959858929</v>
      </c>
    </row>
    <row r="100" spans="2:8" ht="15" customHeight="1" x14ac:dyDescent="0.2">
      <c r="B100" s="28" t="s">
        <v>94</v>
      </c>
      <c r="C100" s="110">
        <v>3889.114</v>
      </c>
      <c r="D100" s="110">
        <v>66617.077000000005</v>
      </c>
      <c r="E100" s="111">
        <v>3.2145641622995642</v>
      </c>
      <c r="F100" s="110">
        <v>3953.0120000000002</v>
      </c>
      <c r="G100" s="110">
        <v>68794.774999999994</v>
      </c>
      <c r="H100" s="112">
        <v>3.1869184702815501</v>
      </c>
    </row>
    <row r="101" spans="2:8" ht="15" customHeight="1" x14ac:dyDescent="0.2">
      <c r="B101" s="28" t="s">
        <v>95</v>
      </c>
      <c r="C101" s="110">
        <v>3684.5720000000001</v>
      </c>
      <c r="D101" s="110">
        <v>24362.213</v>
      </c>
      <c r="E101" s="111">
        <v>5.6150397341971994</v>
      </c>
      <c r="F101" s="110">
        <v>3774.55</v>
      </c>
      <c r="G101" s="110">
        <v>24865.08</v>
      </c>
      <c r="H101" s="112">
        <v>5.6361064854358638</v>
      </c>
    </row>
    <row r="102" spans="2:8" ht="15" customHeight="1" x14ac:dyDescent="0.2">
      <c r="B102" s="28" t="s">
        <v>96</v>
      </c>
      <c r="C102" s="110">
        <v>157.99</v>
      </c>
      <c r="D102" s="110">
        <v>20855.147000000001</v>
      </c>
      <c r="E102" s="111">
        <v>4.847927546300272</v>
      </c>
      <c r="F102" s="110">
        <v>158.851</v>
      </c>
      <c r="G102" s="110">
        <v>21136.233</v>
      </c>
      <c r="H102" s="112">
        <v>4.8491036947467032</v>
      </c>
    </row>
    <row r="103" spans="2:8" ht="15" customHeight="1" x14ac:dyDescent="0.2">
      <c r="B103" s="28" t="s">
        <v>97</v>
      </c>
      <c r="C103" s="110">
        <v>464.62599999999998</v>
      </c>
      <c r="D103" s="110">
        <v>43941.963000000003</v>
      </c>
      <c r="E103" s="111">
        <v>3.455673209328356</v>
      </c>
      <c r="F103" s="110">
        <v>475.24</v>
      </c>
      <c r="G103" s="110">
        <v>44443.504999999997</v>
      </c>
      <c r="H103" s="112">
        <v>3.4778244897526518</v>
      </c>
    </row>
    <row r="104" spans="2:8" ht="15" customHeight="1" x14ac:dyDescent="0.2">
      <c r="B104" s="28" t="s">
        <v>98</v>
      </c>
      <c r="C104" s="110">
        <v>960.47799999999995</v>
      </c>
      <c r="D104" s="110">
        <v>22284.422999999999</v>
      </c>
      <c r="E104" s="111">
        <v>3.9845602800176985</v>
      </c>
      <c r="F104" s="110">
        <v>976.00599999999997</v>
      </c>
      <c r="G104" s="110">
        <v>23099.82</v>
      </c>
      <c r="H104" s="112">
        <v>3.9799302042214735</v>
      </c>
    </row>
    <row r="105" spans="2:8" ht="15" customHeight="1" x14ac:dyDescent="0.2">
      <c r="B105" s="28" t="s">
        <v>248</v>
      </c>
      <c r="C105" s="110">
        <v>171.9</v>
      </c>
      <c r="D105" s="110">
        <v>14338.496999999999</v>
      </c>
      <c r="E105" s="111">
        <v>7.9951936839050388</v>
      </c>
      <c r="F105" s="110">
        <v>175.46299999999999</v>
      </c>
      <c r="G105" s="110">
        <v>14836.769</v>
      </c>
      <c r="H105" s="112">
        <v>8.0889506005293441</v>
      </c>
    </row>
    <row r="106" spans="2:8" ht="15" customHeight="1" x14ac:dyDescent="0.2">
      <c r="B106" s="28" t="s">
        <v>100</v>
      </c>
      <c r="C106" s="110">
        <v>84.478999999999999</v>
      </c>
      <c r="D106" s="110">
        <v>10474.831</v>
      </c>
      <c r="E106" s="111">
        <v>4.2525643374524886</v>
      </c>
      <c r="F106" s="110">
        <v>86.593000000000004</v>
      </c>
      <c r="G106" s="110">
        <v>10767.81</v>
      </c>
      <c r="H106" s="112">
        <v>4.2419637454818702</v>
      </c>
    </row>
    <row r="107" spans="2:8" ht="15" customHeight="1" x14ac:dyDescent="0.2">
      <c r="B107" s="28" t="s">
        <v>101</v>
      </c>
      <c r="C107" s="110">
        <v>0.47899999999999998</v>
      </c>
      <c r="D107" s="110">
        <v>10682.833000000001</v>
      </c>
      <c r="E107" s="111">
        <v>6.5144154641782146</v>
      </c>
      <c r="F107" s="110">
        <v>0.51900000000000002</v>
      </c>
      <c r="G107" s="110">
        <v>11596.752</v>
      </c>
      <c r="H107" s="112">
        <v>6.7136022054556861</v>
      </c>
    </row>
    <row r="108" spans="2:8" ht="15" customHeight="1" x14ac:dyDescent="0.2">
      <c r="B108" s="28" t="s">
        <v>102</v>
      </c>
      <c r="C108" s="110">
        <v>87.382999999999996</v>
      </c>
      <c r="D108" s="110">
        <v>9833.8269999999993</v>
      </c>
      <c r="E108" s="111">
        <v>7.0246427611724576</v>
      </c>
      <c r="F108" s="110">
        <v>88.817999999999998</v>
      </c>
      <c r="G108" s="110">
        <v>10034.286</v>
      </c>
      <c r="H108" s="112">
        <v>7.0227084188926856</v>
      </c>
    </row>
    <row r="109" spans="2:8" ht="15" customHeight="1" x14ac:dyDescent="0.2">
      <c r="B109" s="28" t="s">
        <v>103</v>
      </c>
      <c r="C109" s="110">
        <v>4.2750000000000004</v>
      </c>
      <c r="D109" s="110">
        <v>13287.237999999999</v>
      </c>
      <c r="E109" s="111">
        <v>5.8414313370312962</v>
      </c>
      <c r="F109" s="110">
        <v>4.6920000000000002</v>
      </c>
      <c r="G109" s="110">
        <v>14164.210999999999</v>
      </c>
      <c r="H109" s="112">
        <v>5.8126040966926782</v>
      </c>
    </row>
    <row r="110" spans="2:8" ht="15" customHeight="1" x14ac:dyDescent="0.2">
      <c r="B110" s="29" t="s">
        <v>104</v>
      </c>
      <c r="C110" s="114">
        <v>2296.7310000000002</v>
      </c>
      <c r="D110" s="114">
        <v>38039.661999999997</v>
      </c>
      <c r="E110" s="115">
        <v>3.5850846037322874</v>
      </c>
      <c r="F110" s="114">
        <v>2355.502</v>
      </c>
      <c r="G110" s="114">
        <v>40232.379000000001</v>
      </c>
      <c r="H110" s="116">
        <v>3.552842008656989</v>
      </c>
    </row>
    <row r="113" spans="2:5" ht="15" customHeight="1" x14ac:dyDescent="0.2">
      <c r="B113" s="1131" t="s">
        <v>77</v>
      </c>
      <c r="C113" s="1141" t="s">
        <v>233</v>
      </c>
      <c r="D113" s="1141"/>
      <c r="E113" s="1133"/>
    </row>
    <row r="114" spans="2:5" ht="15" customHeight="1" x14ac:dyDescent="0.2">
      <c r="B114" s="1143"/>
      <c r="C114" s="325" t="s">
        <v>78</v>
      </c>
      <c r="D114" s="1137" t="s">
        <v>79</v>
      </c>
      <c r="E114" s="1127"/>
    </row>
    <row r="115" spans="2:5" ht="30" customHeight="1" x14ac:dyDescent="0.2">
      <c r="B115" s="1144"/>
      <c r="C115" s="1138" t="s">
        <v>326</v>
      </c>
      <c r="D115" s="1138"/>
      <c r="E115" s="17" t="s">
        <v>82</v>
      </c>
    </row>
    <row r="116" spans="2:5" ht="15" customHeight="1" x14ac:dyDescent="0.2">
      <c r="B116" s="144" t="str">
        <f>Index!$B$4</f>
        <v>England</v>
      </c>
      <c r="C116" s="105"/>
      <c r="D116" s="194"/>
      <c r="E116" s="194"/>
    </row>
    <row r="117" spans="2:5" ht="15" customHeight="1" x14ac:dyDescent="0.2">
      <c r="B117" s="118" t="s">
        <v>105</v>
      </c>
      <c r="C117" s="108">
        <v>12188.589</v>
      </c>
      <c r="D117" s="108">
        <v>292631.95299999998</v>
      </c>
      <c r="E117" s="120">
        <v>1.2207094793729985</v>
      </c>
    </row>
    <row r="118" spans="2:5" ht="15" customHeight="1" x14ac:dyDescent="0.2">
      <c r="B118" s="28" t="s">
        <v>94</v>
      </c>
      <c r="C118" s="110">
        <v>3960.741</v>
      </c>
      <c r="D118" s="110">
        <v>70928.137000000002</v>
      </c>
      <c r="E118" s="112">
        <v>3.1601532944487634</v>
      </c>
    </row>
    <row r="119" spans="2:5" ht="15" customHeight="1" x14ac:dyDescent="0.2">
      <c r="B119" s="28" t="s">
        <v>95</v>
      </c>
      <c r="C119" s="110">
        <v>3837.2979999999998</v>
      </c>
      <c r="D119" s="110">
        <v>25697.364000000001</v>
      </c>
      <c r="E119" s="112">
        <v>5.5977023338518137</v>
      </c>
    </row>
    <row r="120" spans="2:5" ht="15" customHeight="1" x14ac:dyDescent="0.2">
      <c r="B120" s="28" t="s">
        <v>96</v>
      </c>
      <c r="C120" s="110">
        <v>160.66999999999999</v>
      </c>
      <c r="D120" s="110">
        <v>21113.262999999999</v>
      </c>
      <c r="E120" s="112">
        <v>4.9162555054750063</v>
      </c>
    </row>
    <row r="121" spans="2:5" ht="15" customHeight="1" x14ac:dyDescent="0.2">
      <c r="B121" s="28" t="s">
        <v>97</v>
      </c>
      <c r="C121" s="110">
        <v>482.58499999999998</v>
      </c>
      <c r="D121" s="110">
        <v>44753.932999999997</v>
      </c>
      <c r="E121" s="112">
        <v>3.5135311537907863</v>
      </c>
    </row>
    <row r="122" spans="2:5" ht="15" customHeight="1" x14ac:dyDescent="0.2">
      <c r="B122" s="28" t="s">
        <v>98</v>
      </c>
      <c r="C122" s="110">
        <v>982.85500000000002</v>
      </c>
      <c r="D122" s="110">
        <v>23410.712</v>
      </c>
      <c r="E122" s="112">
        <v>4.0076790368357473</v>
      </c>
    </row>
    <row r="123" spans="2:5" ht="15" customHeight="1" x14ac:dyDescent="0.2">
      <c r="B123" s="28" t="s">
        <v>248</v>
      </c>
      <c r="C123" s="110">
        <v>180.221</v>
      </c>
      <c r="D123" s="110">
        <v>15547.22</v>
      </c>
      <c r="E123" s="112">
        <v>8.0726267788237891</v>
      </c>
    </row>
    <row r="124" spans="2:5" ht="15" customHeight="1" x14ac:dyDescent="0.2">
      <c r="B124" s="28" t="s">
        <v>100</v>
      </c>
      <c r="C124" s="110">
        <v>86.811000000000007</v>
      </c>
      <c r="D124" s="110">
        <v>11117.696</v>
      </c>
      <c r="E124" s="112">
        <v>4.2159907099449647</v>
      </c>
    </row>
    <row r="125" spans="2:5" ht="15" customHeight="1" x14ac:dyDescent="0.2">
      <c r="B125" s="28" t="s">
        <v>101</v>
      </c>
      <c r="C125" s="110">
        <v>0.55600000000000005</v>
      </c>
      <c r="D125" s="110">
        <v>12412.773999999999</v>
      </c>
      <c r="E125" s="112">
        <v>6.9168785323791298</v>
      </c>
    </row>
    <row r="126" spans="2:5" ht="15" customHeight="1" x14ac:dyDescent="0.2">
      <c r="B126" s="28" t="s">
        <v>102</v>
      </c>
      <c r="C126" s="110">
        <v>88.244</v>
      </c>
      <c r="D126" s="110">
        <v>10223.225</v>
      </c>
      <c r="E126" s="112">
        <v>7.0249358494359653</v>
      </c>
    </row>
    <row r="127" spans="2:5" ht="15" customHeight="1" x14ac:dyDescent="0.2">
      <c r="B127" s="28" t="s">
        <v>103</v>
      </c>
      <c r="C127" s="110">
        <v>5.0910000000000002</v>
      </c>
      <c r="D127" s="110">
        <v>14865.251</v>
      </c>
      <c r="E127" s="112">
        <v>5.8128879232090673</v>
      </c>
    </row>
    <row r="128" spans="2:5" ht="15" customHeight="1" x14ac:dyDescent="0.2">
      <c r="B128" s="29" t="s">
        <v>104</v>
      </c>
      <c r="C128" s="114">
        <v>2403.5219999999999</v>
      </c>
      <c r="D128" s="114">
        <v>42115.294999999998</v>
      </c>
      <c r="E128" s="116">
        <v>3.5359786416289665</v>
      </c>
    </row>
  </sheetData>
  <mergeCells count="73">
    <mergeCell ref="X5:Z5"/>
    <mergeCell ref="AA5:AC5"/>
    <mergeCell ref="AD5:AF5"/>
    <mergeCell ref="Y6:Z6"/>
    <mergeCell ref="AB6:AC6"/>
    <mergeCell ref="AE6:AF6"/>
    <mergeCell ref="X7:Y7"/>
    <mergeCell ref="AA7:AB7"/>
    <mergeCell ref="AD7:AE7"/>
    <mergeCell ref="I7:J7"/>
    <mergeCell ref="L7:M7"/>
    <mergeCell ref="O7:P7"/>
    <mergeCell ref="R5:T5"/>
    <mergeCell ref="U5:W5"/>
    <mergeCell ref="R7:S7"/>
    <mergeCell ref="U7:V7"/>
    <mergeCell ref="S6:T6"/>
    <mergeCell ref="V6:W6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D24:E24"/>
    <mergeCell ref="G24:H24"/>
    <mergeCell ref="B23:B25"/>
    <mergeCell ref="C23:E23"/>
    <mergeCell ref="F23:H23"/>
    <mergeCell ref="C25:D25"/>
    <mergeCell ref="F25:G25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G78:H78"/>
    <mergeCell ref="F79:G79"/>
    <mergeCell ref="C79:D79"/>
    <mergeCell ref="D78:E78"/>
    <mergeCell ref="B77:B79"/>
    <mergeCell ref="F77:H77"/>
    <mergeCell ref="C77:E77"/>
    <mergeCell ref="F95:H95"/>
    <mergeCell ref="G96:H96"/>
    <mergeCell ref="D96:E96"/>
    <mergeCell ref="C95:E95"/>
    <mergeCell ref="B95:B97"/>
    <mergeCell ref="D114:E114"/>
    <mergeCell ref="C115:D115"/>
    <mergeCell ref="F97:G97"/>
    <mergeCell ref="B113:B115"/>
    <mergeCell ref="C113:E113"/>
    <mergeCell ref="C97:D9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between" id="{48D94395-A16F-4E87-8DF5-3EC6B3F60C51}">
            <xm:f>Sheet1!$D$4</xm:f>
            <xm:f>Sheet1!$E$4</xm:f>
            <x14:dxf>
              <numFmt numFmtId="173" formatCode="&quot;&lt; 1&quot;"/>
            </x14:dxf>
          </x14:cfRule>
          <xm:sqref>A1:XFD8 A21:XFD26 A9:A20 AJ9:XFD20 A39:XFD44 A27:B38 I27:XFD38 A57:XFD62 A45:B56 I45:XFD56 A75:XFD80 A63:B74 I63:XFD74 A93:XFD98 A81:B92 I81:XFD92 A111:XFD116 A99:B110 I99:XFD110 A129:XFD1048576 A117:B128 F117:XFD128</xm:sqref>
        </x14:conditionalFormatting>
        <x14:conditionalFormatting xmlns:xm="http://schemas.microsoft.com/office/excel/2006/main">
          <x14:cfRule type="expression" priority="48" id="{6258AB03-9683-4083-BD4C-1AEF8596089A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9" operator="between" id="{FC59B739-7DAC-4D10-B40E-1E43E1C2FC94}">
            <xm:f>Sheet1!$D$4</xm:f>
            <xm:f>Sheet1!$E$4</xm:f>
            <x14:dxf>
              <numFmt numFmtId="173" formatCode="&quot;&lt; 1&quot;"/>
            </x14:dxf>
          </x14:cfRule>
          <xm:sqref>B9:B20</xm:sqref>
        </x14:conditionalFormatting>
        <x14:conditionalFormatting xmlns:xm="http://schemas.microsoft.com/office/excel/2006/main">
          <x14:cfRule type="cellIs" priority="47" operator="between" id="{D6A0337F-068D-435C-B53D-D131113A2846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6" id="{7D33A999-C05C-4B0B-A644-B42695645FB4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5" operator="between" id="{09CBAFC3-211B-4B2B-B72C-AA9FCD970A87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4" id="{A9A8B02C-D54F-4937-8443-2459314DFA6E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43" operator="between" id="{3C83BEDE-D7B6-4B6B-A74F-A160977B169C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42" id="{6029266A-FB4C-4049-A11E-3A3B0EB1D432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cellIs" priority="41" operator="between" id="{C54D29CF-4982-4515-8A2C-FCF1829076A5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40" id="{0092A9F7-ACA6-4F04-BE13-A7D7C2A3C9F5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39" operator="between" id="{2E7E616A-7DAE-43E6-AA9A-9F2D2B89051B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38" id="{1E1F7CD0-4F3B-4E17-AFC6-249E624B7EC6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37" operator="between" id="{BF448421-9D18-41D4-91D9-148A3ADE5FF9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36" id="{F5E18CCE-7BFC-4F88-81DC-F8BA1FDA3C3A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35" operator="between" id="{914684ED-AF1C-4043-8496-ED27A25F2BEA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34" id="{BE35198B-420F-408F-B139-67ABA6938933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33" operator="between" id="{FEF236F9-353F-44F4-9CCA-AF9177249A4B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32" id="{97066207-A46F-4AB7-A109-0A4163D9539B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cellIs" priority="31" operator="between" id="{F8DCEDF0-B1E9-4BC6-A686-3FFF6369B2C9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expression" priority="30" id="{F4A1B648-BDE7-4187-9E6E-F41E3B76CEEA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29" operator="between" id="{6C5F0406-74A5-4677-88C9-E5E4D3B0092D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8" id="{1EB5385A-A65F-4778-BFD5-3CA3BF093A47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27" operator="between" id="{D25A4964-4DD6-43CF-ACED-F035AACC909A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  <x14:conditionalFormatting xmlns:xm="http://schemas.microsoft.com/office/excel/2006/main">
          <x14:cfRule type="expression" priority="26" id="{FC836D06-9AF4-4915-A1FE-C6CC592645E9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25" operator="between" id="{37DDAAAF-6F98-448C-96A1-6AA3AAB39A3E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24" id="{A2BDF99B-4C6D-4924-BD1A-7FBE8D962E1E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23" operator="between" id="{F7CA5B89-EA5A-4D81-8741-10F920770F91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22" id="{42D8BAC0-19E0-4F27-AE55-2645B463F571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21" operator="between" id="{40706760-5D5D-4071-9748-1ED0352980B4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20" id="{4057F132-772B-4F66-A191-2956C337E10B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19" operator="between" id="{CC7DD76E-47AF-42FF-B5B6-2A5585C021C0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18" id="{182AC24B-452F-4ABE-B663-F983818F97B2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17" operator="between" id="{7307624C-A914-4084-A2F4-43D5B3C0D4C1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16" id="{C8297DE1-FBC1-4860-8AB1-F82E76895505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15" operator="between" id="{B56568CC-26A5-497B-8D6A-5A791A8A836D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cellIs" priority="7" operator="between" id="{FC150552-6B64-40A9-90A4-9083194DE596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cellIs" priority="5" operator="between" id="{BF5123DD-DBD7-428D-948F-5444D60B4C4F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10" id="{72BB9F21-6C0E-419E-ABC9-7208F103D3B8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9" operator="between" id="{77111A2C-66B5-444F-8C4C-0CC66A0ECD4D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8" id="{4604D79C-9904-4353-A660-CF35CCE2A514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expression" priority="6" id="{843D1C4E-854F-4B66-806A-19B4D7E5BD97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expression" priority="4" id="{8B244788-B85E-49E8-80C9-E92451D7BE8D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3" operator="between" id="{4234BA8A-5622-4A67-9ADE-6C704DFD51AD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2" id="{6F6C76B6-B7CE-4AD7-ABCD-27811FCA59BE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" operator="between" id="{D934D4E8-056C-4831-A8FE-027164B0F990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0.59999389629810485"/>
  </sheetPr>
  <dimension ref="B3:F18"/>
  <sheetViews>
    <sheetView workbookViewId="0">
      <selection activeCell="C8" sqref="C8:E8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424</v>
      </c>
      <c r="C3" t="s">
        <v>879</v>
      </c>
    </row>
    <row r="5" spans="2:6" ht="15" customHeight="1" x14ac:dyDescent="0.2">
      <c r="B5" s="1085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142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44" t="str">
        <f>Index!$B$4</f>
        <v>England</v>
      </c>
      <c r="C7" s="145"/>
      <c r="D7" s="145"/>
      <c r="E7" s="145"/>
      <c r="F7" s="145"/>
    </row>
    <row r="8" spans="2:6" ht="15" customHeight="1" x14ac:dyDescent="0.2">
      <c r="B8" s="142" t="s">
        <v>332</v>
      </c>
      <c r="C8" s="137">
        <f>'Section 11 chart data'!D35</f>
        <v>1409.8779999999999</v>
      </c>
      <c r="D8" s="138">
        <f>'Section 11 chart data'!J35</f>
        <v>3871.9789999999998</v>
      </c>
      <c r="E8" s="900">
        <f>'Section 11 chart data'!K35</f>
        <v>1.550731704843719</v>
      </c>
      <c r="F8" s="139">
        <f>SUM(C8,D8)</f>
        <v>5281.857</v>
      </c>
    </row>
    <row r="9" spans="2:6" ht="15" customHeight="1" x14ac:dyDescent="0.2">
      <c r="B9" s="142" t="s">
        <v>222</v>
      </c>
      <c r="C9" s="137">
        <f>'Section 11 chart data'!D36</f>
        <v>1441.117</v>
      </c>
      <c r="D9" s="138">
        <f>'Section 11 chart data'!J36</f>
        <v>4288.8770000000004</v>
      </c>
      <c r="E9" s="900">
        <f>'Section 11 chart data'!K36</f>
        <v>1.160582722656663</v>
      </c>
      <c r="F9" s="139">
        <f t="shared" ref="F9:F18" si="0">SUM(C9,D9)</f>
        <v>5729.9940000000006</v>
      </c>
    </row>
    <row r="10" spans="2:6" ht="15" customHeight="1" x14ac:dyDescent="0.2">
      <c r="B10" s="142" t="s">
        <v>225</v>
      </c>
      <c r="C10" s="137">
        <f>'Section 11 chart data'!D37</f>
        <v>1352.702</v>
      </c>
      <c r="D10" s="138">
        <f>'Section 11 chart data'!J37</f>
        <v>4524.7489999999998</v>
      </c>
      <c r="E10" s="900">
        <f>'Section 11 chart data'!K37</f>
        <v>1.1157623625864461</v>
      </c>
      <c r="F10" s="139">
        <f t="shared" si="0"/>
        <v>5877.451</v>
      </c>
    </row>
    <row r="11" spans="2:6" ht="15" customHeight="1" x14ac:dyDescent="0.2">
      <c r="B11" s="142" t="s">
        <v>226</v>
      </c>
      <c r="C11" s="137">
        <f>'Section 11 chart data'!D38</f>
        <v>1328.7719999999999</v>
      </c>
      <c r="D11" s="138">
        <f>'Section 11 chart data'!J38</f>
        <v>4536.5780000000004</v>
      </c>
      <c r="E11" s="900">
        <f>'Section 11 chart data'!K38</f>
        <v>1.1091448872987655</v>
      </c>
      <c r="F11" s="139">
        <f t="shared" si="0"/>
        <v>5865.35</v>
      </c>
    </row>
    <row r="12" spans="2:6" ht="15" customHeight="1" x14ac:dyDescent="0.2">
      <c r="B12" s="142" t="s">
        <v>227</v>
      </c>
      <c r="C12" s="137">
        <f>'Section 11 chart data'!D39</f>
        <v>1309.3209999999999</v>
      </c>
      <c r="D12" s="138">
        <f>'Section 11 chart data'!J39</f>
        <v>4415.8909999999996</v>
      </c>
      <c r="E12" s="900">
        <f>'Section 11 chart data'!K39</f>
        <v>1.1376813881991792</v>
      </c>
      <c r="F12" s="139">
        <f t="shared" si="0"/>
        <v>5725.2119999999995</v>
      </c>
    </row>
    <row r="13" spans="2:6" ht="15" customHeight="1" x14ac:dyDescent="0.2">
      <c r="B13" s="142" t="s">
        <v>355</v>
      </c>
      <c r="C13" s="137">
        <f>'Section 11 chart data'!D40</f>
        <v>1320.921</v>
      </c>
      <c r="D13" s="138">
        <f>'Section 11 chart data'!J40</f>
        <v>4250.16</v>
      </c>
      <c r="E13" s="900">
        <f>'Section 11 chart data'!K40</f>
        <v>1.1737771999297695</v>
      </c>
      <c r="F13" s="139">
        <f t="shared" si="0"/>
        <v>5571.0810000000001</v>
      </c>
    </row>
    <row r="14" spans="2:6" ht="15" customHeight="1" x14ac:dyDescent="0.2">
      <c r="B14" s="142" t="s">
        <v>333</v>
      </c>
      <c r="C14" s="137">
        <f>'Section 11 chart data'!D41</f>
        <v>1335.1179999999999</v>
      </c>
      <c r="D14" s="138">
        <f>'Section 11 chart data'!J41</f>
        <v>4012.8449999999998</v>
      </c>
      <c r="E14" s="900">
        <f>'Section 11 chart data'!K41</f>
        <v>1.2089835441291628</v>
      </c>
      <c r="F14" s="139">
        <f t="shared" si="0"/>
        <v>5347.9629999999997</v>
      </c>
    </row>
    <row r="15" spans="2:6" ht="15" customHeight="1" x14ac:dyDescent="0.2">
      <c r="B15" s="142" t="s">
        <v>334</v>
      </c>
      <c r="C15" s="137">
        <f>'Section 11 chart data'!D42</f>
        <v>1359.3810000000001</v>
      </c>
      <c r="D15" s="138">
        <f>'Section 11 chart data'!J42</f>
        <v>3736.9560000000001</v>
      </c>
      <c r="E15" s="900">
        <f>'Section 11 chart data'!K42</f>
        <v>1.2354740007759426</v>
      </c>
      <c r="F15" s="139">
        <f t="shared" si="0"/>
        <v>5096.3370000000004</v>
      </c>
    </row>
    <row r="16" spans="2:6" ht="15" customHeight="1" x14ac:dyDescent="0.2">
      <c r="B16" s="142" t="s">
        <v>231</v>
      </c>
      <c r="C16" s="137">
        <f>'Section 11 chart data'!D43</f>
        <v>1381.636</v>
      </c>
      <c r="D16" s="138">
        <f>'Section 11 chart data'!J43</f>
        <v>3447.0770000000002</v>
      </c>
      <c r="E16" s="900">
        <f>'Section 11 chart data'!K43</f>
        <v>1.2815196217199669</v>
      </c>
      <c r="F16" s="139">
        <f t="shared" si="0"/>
        <v>4828.7129999999997</v>
      </c>
    </row>
    <row r="17" spans="2:6" ht="15" customHeight="1" x14ac:dyDescent="0.2">
      <c r="B17" s="142" t="s">
        <v>232</v>
      </c>
      <c r="C17" s="137">
        <f>'Section 11 chart data'!D44</f>
        <v>1415.7239999999999</v>
      </c>
      <c r="D17" s="138">
        <f>'Section 11 chart data'!J44</f>
        <v>3139.5430000000001</v>
      </c>
      <c r="E17" s="900">
        <f>'Section 11 chart data'!K44</f>
        <v>1.2847787160037392</v>
      </c>
      <c r="F17" s="139">
        <f t="shared" si="0"/>
        <v>4555.2669999999998</v>
      </c>
    </row>
    <row r="18" spans="2:6" ht="15" customHeight="1" x14ac:dyDescent="0.2">
      <c r="B18" s="143" t="s">
        <v>233</v>
      </c>
      <c r="C18" s="137">
        <f>'Section 11 chart data'!D45</f>
        <v>1430.192</v>
      </c>
      <c r="D18" s="138">
        <f>'Section 11 chart data'!J45</f>
        <v>2895.221</v>
      </c>
      <c r="E18" s="900">
        <f>'Section 11 chart data'!K45</f>
        <v>1.2884959959166495</v>
      </c>
      <c r="F18" s="140">
        <f t="shared" si="0"/>
        <v>4325.4130000000005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D28EA48-511C-400B-9D8A-25060110E2DE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7FB6ADE4-D706-4446-A2E6-F1D4B3019602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425</v>
      </c>
      <c r="C3" t="s">
        <v>461</v>
      </c>
    </row>
    <row r="5" spans="2:35" ht="15" customHeight="1" x14ac:dyDescent="0.2">
      <c r="B5" s="1145" t="s">
        <v>77</v>
      </c>
      <c r="C5" s="1141" t="s">
        <v>332</v>
      </c>
      <c r="D5" s="1141"/>
      <c r="E5" s="1141"/>
      <c r="F5" s="1141" t="s">
        <v>222</v>
      </c>
      <c r="G5" s="1141"/>
      <c r="H5" s="1141"/>
      <c r="I5" s="1141" t="s">
        <v>225</v>
      </c>
      <c r="J5" s="1141"/>
      <c r="K5" s="1141"/>
      <c r="L5" s="1141" t="s">
        <v>226</v>
      </c>
      <c r="M5" s="1141"/>
      <c r="N5" s="1141"/>
      <c r="O5" s="1141" t="s">
        <v>227</v>
      </c>
      <c r="P5" s="1141"/>
      <c r="Q5" s="1141"/>
      <c r="R5" s="1141" t="s">
        <v>228</v>
      </c>
      <c r="S5" s="1141"/>
      <c r="T5" s="1141"/>
      <c r="U5" s="1141" t="s">
        <v>333</v>
      </c>
      <c r="V5" s="1141"/>
      <c r="W5" s="1141"/>
      <c r="X5" s="1141" t="s">
        <v>334</v>
      </c>
      <c r="Y5" s="1141"/>
      <c r="Z5" s="1141"/>
      <c r="AA5" s="1141" t="s">
        <v>231</v>
      </c>
      <c r="AB5" s="1141"/>
      <c r="AC5" s="1141"/>
      <c r="AD5" s="1141" t="s">
        <v>232</v>
      </c>
      <c r="AE5" s="1141"/>
      <c r="AF5" s="1141"/>
      <c r="AG5" s="1141" t="s">
        <v>233</v>
      </c>
      <c r="AH5" s="1141"/>
      <c r="AI5" s="1133"/>
    </row>
    <row r="6" spans="2:35" ht="15" customHeight="1" x14ac:dyDescent="0.2">
      <c r="B6" s="1146"/>
      <c r="C6" s="103" t="s">
        <v>78</v>
      </c>
      <c r="D6" s="1137" t="s">
        <v>79</v>
      </c>
      <c r="E6" s="1137"/>
      <c r="F6" s="103" t="s">
        <v>78</v>
      </c>
      <c r="G6" s="1137" t="s">
        <v>79</v>
      </c>
      <c r="H6" s="1137"/>
      <c r="I6" s="103" t="s">
        <v>78</v>
      </c>
      <c r="J6" s="1137" t="s">
        <v>79</v>
      </c>
      <c r="K6" s="1137"/>
      <c r="L6" s="103" t="s">
        <v>78</v>
      </c>
      <c r="M6" s="1137" t="s">
        <v>79</v>
      </c>
      <c r="N6" s="1137"/>
      <c r="O6" s="103" t="s">
        <v>78</v>
      </c>
      <c r="P6" s="1137" t="s">
        <v>79</v>
      </c>
      <c r="Q6" s="1137"/>
      <c r="R6" s="103" t="s">
        <v>78</v>
      </c>
      <c r="S6" s="1137" t="s">
        <v>79</v>
      </c>
      <c r="T6" s="1137"/>
      <c r="U6" s="103" t="s">
        <v>78</v>
      </c>
      <c r="V6" s="1137" t="s">
        <v>79</v>
      </c>
      <c r="W6" s="1137"/>
      <c r="X6" s="103" t="s">
        <v>78</v>
      </c>
      <c r="Y6" s="1137" t="s">
        <v>79</v>
      </c>
      <c r="Z6" s="1137"/>
      <c r="AA6" s="103" t="s">
        <v>78</v>
      </c>
      <c r="AB6" s="1137" t="s">
        <v>79</v>
      </c>
      <c r="AC6" s="1137"/>
      <c r="AD6" s="103" t="s">
        <v>78</v>
      </c>
      <c r="AE6" s="1137" t="s">
        <v>79</v>
      </c>
      <c r="AF6" s="1137"/>
      <c r="AG6" s="899" t="s">
        <v>78</v>
      </c>
      <c r="AH6" s="1137" t="s">
        <v>79</v>
      </c>
      <c r="AI6" s="1127"/>
    </row>
    <row r="7" spans="2:35" ht="30" customHeight="1" x14ac:dyDescent="0.2">
      <c r="B7" s="1146"/>
      <c r="C7" s="1138" t="s">
        <v>326</v>
      </c>
      <c r="D7" s="1138"/>
      <c r="E7" s="16" t="s">
        <v>82</v>
      </c>
      <c r="F7" s="1138" t="s">
        <v>326</v>
      </c>
      <c r="G7" s="1138"/>
      <c r="H7" s="16" t="s">
        <v>82</v>
      </c>
      <c r="I7" s="1138" t="s">
        <v>326</v>
      </c>
      <c r="J7" s="1138"/>
      <c r="K7" s="16" t="s">
        <v>82</v>
      </c>
      <c r="L7" s="1138" t="s">
        <v>326</v>
      </c>
      <c r="M7" s="1138"/>
      <c r="N7" s="16" t="s">
        <v>82</v>
      </c>
      <c r="O7" s="1138" t="s">
        <v>326</v>
      </c>
      <c r="P7" s="1138"/>
      <c r="Q7" s="16" t="s">
        <v>82</v>
      </c>
      <c r="R7" s="1138" t="s">
        <v>326</v>
      </c>
      <c r="S7" s="1138"/>
      <c r="T7" s="16" t="s">
        <v>82</v>
      </c>
      <c r="U7" s="1138" t="s">
        <v>326</v>
      </c>
      <c r="V7" s="1138"/>
      <c r="W7" s="16" t="s">
        <v>82</v>
      </c>
      <c r="X7" s="1138" t="s">
        <v>326</v>
      </c>
      <c r="Y7" s="1138"/>
      <c r="Z7" s="16" t="s">
        <v>82</v>
      </c>
      <c r="AA7" s="1138" t="s">
        <v>326</v>
      </c>
      <c r="AB7" s="1138"/>
      <c r="AC7" s="16" t="s">
        <v>82</v>
      </c>
      <c r="AD7" s="1138" t="s">
        <v>326</v>
      </c>
      <c r="AE7" s="1138"/>
      <c r="AF7" s="16" t="s">
        <v>82</v>
      </c>
      <c r="AG7" s="1138" t="s">
        <v>326</v>
      </c>
      <c r="AH7" s="1138"/>
      <c r="AI7" s="17" t="s">
        <v>82</v>
      </c>
    </row>
    <row r="8" spans="2:35" ht="15" customHeight="1" x14ac:dyDescent="0.2">
      <c r="B8" s="144" t="str">
        <f>Index!$B$4</f>
        <v>England</v>
      </c>
      <c r="C8" s="105"/>
      <c r="D8" s="105"/>
      <c r="E8" s="106"/>
      <c r="F8" s="105"/>
      <c r="G8" s="105"/>
      <c r="H8" s="106"/>
      <c r="I8" s="105"/>
      <c r="J8" s="105"/>
      <c r="K8" s="106"/>
      <c r="L8" s="105"/>
      <c r="M8" s="105"/>
      <c r="N8" s="106"/>
      <c r="O8" s="105"/>
      <c r="P8" s="105"/>
      <c r="Q8" s="106"/>
      <c r="R8" s="105"/>
      <c r="S8" s="105"/>
      <c r="T8" s="106"/>
      <c r="U8" s="105"/>
      <c r="V8" s="105"/>
      <c r="W8" s="106"/>
      <c r="X8" s="105"/>
      <c r="Y8" s="105"/>
      <c r="Z8" s="106"/>
      <c r="AA8" s="105"/>
      <c r="AB8" s="105"/>
      <c r="AC8" s="106"/>
      <c r="AD8" s="105"/>
      <c r="AE8" s="105"/>
      <c r="AF8" s="106"/>
      <c r="AG8" s="105"/>
      <c r="AH8" s="105"/>
      <c r="AI8" s="106"/>
    </row>
    <row r="9" spans="2:35" ht="15" customHeight="1" x14ac:dyDescent="0.2">
      <c r="B9" s="107" t="s">
        <v>105</v>
      </c>
      <c r="C9" s="108">
        <v>191.26599999999999</v>
      </c>
      <c r="D9" s="108">
        <v>3871.9789999999998</v>
      </c>
      <c r="E9" s="119">
        <v>1.550731704843719</v>
      </c>
      <c r="F9" s="108">
        <v>195.51300000000001</v>
      </c>
      <c r="G9" s="108">
        <v>4288.8770000000004</v>
      </c>
      <c r="H9" s="119">
        <v>1.160582722656663</v>
      </c>
      <c r="I9" s="108">
        <v>191.26599999999999</v>
      </c>
      <c r="J9" s="108">
        <v>3871.9789999999998</v>
      </c>
      <c r="K9" s="119">
        <v>1.550731704843719</v>
      </c>
      <c r="L9" s="108">
        <v>195.51300000000001</v>
      </c>
      <c r="M9" s="108">
        <v>4288.8770000000004</v>
      </c>
      <c r="N9" s="119">
        <v>1.160582722656663</v>
      </c>
      <c r="O9" s="108">
        <v>195.90299999999999</v>
      </c>
      <c r="P9" s="108">
        <v>4415.8909999999996</v>
      </c>
      <c r="Q9" s="119">
        <v>1.1376813881991792</v>
      </c>
      <c r="R9" s="108">
        <v>193.75</v>
      </c>
      <c r="S9" s="108">
        <v>4250.16</v>
      </c>
      <c r="T9" s="119">
        <v>1.1737771999297695</v>
      </c>
      <c r="U9" s="108">
        <v>190.93600000000001</v>
      </c>
      <c r="V9" s="108">
        <v>4012.8449999999998</v>
      </c>
      <c r="W9" s="119">
        <v>1.2089835441291628</v>
      </c>
      <c r="X9" s="108">
        <v>190.178</v>
      </c>
      <c r="Y9" s="108">
        <v>3736.9560000000001</v>
      </c>
      <c r="Z9" s="119">
        <v>1.2354740007759426</v>
      </c>
      <c r="AA9" s="108">
        <v>189.08099999999999</v>
      </c>
      <c r="AB9" s="108">
        <v>3447.0770000000002</v>
      </c>
      <c r="AC9" s="119">
        <v>1.2815196217199669</v>
      </c>
      <c r="AD9" s="108">
        <v>188.62799999999999</v>
      </c>
      <c r="AE9" s="108">
        <v>3139.5430000000001</v>
      </c>
      <c r="AF9" s="119">
        <v>1.2847787160037392</v>
      </c>
      <c r="AG9" s="108">
        <v>187.834</v>
      </c>
      <c r="AH9" s="108">
        <v>2895.221</v>
      </c>
      <c r="AI9" s="120">
        <v>1.2884959959166495</v>
      </c>
    </row>
    <row r="10" spans="2:35" ht="15" customHeight="1" x14ac:dyDescent="0.2">
      <c r="B10" s="109" t="s">
        <v>94</v>
      </c>
      <c r="C10" s="110">
        <v>44.252000000000002</v>
      </c>
      <c r="D10" s="110">
        <v>779.95600000000002</v>
      </c>
      <c r="E10" s="111">
        <v>3.5071642917190182</v>
      </c>
      <c r="F10" s="110">
        <v>44.481999999999999</v>
      </c>
      <c r="G10" s="110">
        <v>805.51300000000003</v>
      </c>
      <c r="H10" s="111">
        <v>2.9192456882294464</v>
      </c>
      <c r="I10" s="110">
        <v>44.252000000000002</v>
      </c>
      <c r="J10" s="110">
        <v>779.95600000000002</v>
      </c>
      <c r="K10" s="111">
        <v>3.5071642917190182</v>
      </c>
      <c r="L10" s="110">
        <v>44.481999999999999</v>
      </c>
      <c r="M10" s="110">
        <v>805.51300000000003</v>
      </c>
      <c r="N10" s="111">
        <v>2.9192456882294464</v>
      </c>
      <c r="O10" s="110">
        <v>44.89</v>
      </c>
      <c r="P10" s="110">
        <v>744.89599999999996</v>
      </c>
      <c r="Q10" s="111">
        <v>2.7620877927227543</v>
      </c>
      <c r="R10" s="110">
        <v>45.701000000000001</v>
      </c>
      <c r="S10" s="110">
        <v>721.65099999999995</v>
      </c>
      <c r="T10" s="111">
        <v>2.7518345171886947</v>
      </c>
      <c r="U10" s="110">
        <v>47.231999999999999</v>
      </c>
      <c r="V10" s="110">
        <v>705.12599999999998</v>
      </c>
      <c r="W10" s="111">
        <v>2.717747679738522</v>
      </c>
      <c r="X10" s="110">
        <v>48.496000000000002</v>
      </c>
      <c r="Y10" s="110">
        <v>685.26099999999997</v>
      </c>
      <c r="Z10" s="111">
        <v>2.7419769842197241</v>
      </c>
      <c r="AA10" s="110">
        <v>50.334000000000003</v>
      </c>
      <c r="AB10" s="110">
        <v>658.47299999999996</v>
      </c>
      <c r="AC10" s="111">
        <v>2.7853714177433475</v>
      </c>
      <c r="AD10" s="110">
        <v>52.78</v>
      </c>
      <c r="AE10" s="110">
        <v>638.553</v>
      </c>
      <c r="AF10" s="111">
        <v>2.859145522665469</v>
      </c>
      <c r="AG10" s="110">
        <v>54.027000000000001</v>
      </c>
      <c r="AH10" s="110">
        <v>621.18299999999999</v>
      </c>
      <c r="AI10" s="112">
        <v>2.9210075869786323</v>
      </c>
    </row>
    <row r="11" spans="2:35" ht="15" customHeight="1" x14ac:dyDescent="0.2">
      <c r="B11" s="109" t="s">
        <v>95</v>
      </c>
      <c r="C11" s="110">
        <v>73.396000000000001</v>
      </c>
      <c r="D11" s="110">
        <v>347.64699999999999</v>
      </c>
      <c r="E11" s="111">
        <v>8.600758527550628</v>
      </c>
      <c r="F11" s="110">
        <v>72.665000000000006</v>
      </c>
      <c r="G11" s="110">
        <v>391.233</v>
      </c>
      <c r="H11" s="111">
        <v>5.1335570630472898</v>
      </c>
      <c r="I11" s="110">
        <v>73.396000000000001</v>
      </c>
      <c r="J11" s="110">
        <v>347.64699999999999</v>
      </c>
      <c r="K11" s="111">
        <v>8.600758527550628</v>
      </c>
      <c r="L11" s="110">
        <v>72.665000000000006</v>
      </c>
      <c r="M11" s="110">
        <v>391.233</v>
      </c>
      <c r="N11" s="111">
        <v>5.1335570630472898</v>
      </c>
      <c r="O11" s="110">
        <v>65.373999999999995</v>
      </c>
      <c r="P11" s="110">
        <v>388.24700000000001</v>
      </c>
      <c r="Q11" s="111">
        <v>4.5510821795149319</v>
      </c>
      <c r="R11" s="110">
        <v>64.02</v>
      </c>
      <c r="S11" s="110">
        <v>375.375</v>
      </c>
      <c r="T11" s="111">
        <v>4.5256476589905965</v>
      </c>
      <c r="U11" s="110">
        <v>62.860999999999997</v>
      </c>
      <c r="V11" s="110">
        <v>358.899</v>
      </c>
      <c r="W11" s="111">
        <v>4.5451767716023346</v>
      </c>
      <c r="X11" s="110">
        <v>63.777999999999999</v>
      </c>
      <c r="Y11" s="110">
        <v>347.54300000000001</v>
      </c>
      <c r="Z11" s="111">
        <v>4.4699842056986787</v>
      </c>
      <c r="AA11" s="110">
        <v>65.519000000000005</v>
      </c>
      <c r="AB11" s="110">
        <v>337.64299999999997</v>
      </c>
      <c r="AC11" s="111">
        <v>4.4090806406996119</v>
      </c>
      <c r="AD11" s="110">
        <v>68.063000000000002</v>
      </c>
      <c r="AE11" s="110">
        <v>326.64299999999997</v>
      </c>
      <c r="AF11" s="111">
        <v>4.4282589909665759</v>
      </c>
      <c r="AG11" s="110">
        <v>71.188999999999993</v>
      </c>
      <c r="AH11" s="110">
        <v>325.50200000000001</v>
      </c>
      <c r="AI11" s="112">
        <v>4.4467967530240253</v>
      </c>
    </row>
    <row r="12" spans="2:35" ht="15" customHeight="1" x14ac:dyDescent="0.2">
      <c r="B12" s="109" t="s">
        <v>96</v>
      </c>
      <c r="C12" s="110">
        <v>3.2120000000000002</v>
      </c>
      <c r="D12" s="110">
        <v>307.96899999999999</v>
      </c>
      <c r="E12" s="111">
        <v>5.4797017546975937</v>
      </c>
      <c r="F12" s="110">
        <v>3.1840000000000002</v>
      </c>
      <c r="G12" s="110">
        <v>337.67399999999998</v>
      </c>
      <c r="H12" s="111">
        <v>4.4680124940731352</v>
      </c>
      <c r="I12" s="110">
        <v>3.2120000000000002</v>
      </c>
      <c r="J12" s="110">
        <v>307.96899999999999</v>
      </c>
      <c r="K12" s="111">
        <v>5.4797017546975937</v>
      </c>
      <c r="L12" s="110">
        <v>3.1840000000000002</v>
      </c>
      <c r="M12" s="110">
        <v>337.67399999999998</v>
      </c>
      <c r="N12" s="111">
        <v>4.4680124940731352</v>
      </c>
      <c r="O12" s="110">
        <v>3.855</v>
      </c>
      <c r="P12" s="110">
        <v>368.34199999999998</v>
      </c>
      <c r="Q12" s="111">
        <v>4.9548763792654125</v>
      </c>
      <c r="R12" s="110">
        <v>4.1619999999999999</v>
      </c>
      <c r="S12" s="110">
        <v>367.20100000000002</v>
      </c>
      <c r="T12" s="111">
        <v>5.2997246391684598</v>
      </c>
      <c r="U12" s="110">
        <v>4.2960000000000003</v>
      </c>
      <c r="V12" s="110">
        <v>350.11500000000001</v>
      </c>
      <c r="W12" s="111">
        <v>5.5904895024624093</v>
      </c>
      <c r="X12" s="110">
        <v>4.383</v>
      </c>
      <c r="Y12" s="110">
        <v>320.435</v>
      </c>
      <c r="Z12" s="111">
        <v>5.7695742157777845</v>
      </c>
      <c r="AA12" s="110">
        <v>4.2009999999999996</v>
      </c>
      <c r="AB12" s="110">
        <v>283.779</v>
      </c>
      <c r="AC12" s="111">
        <v>5.7861451492492737</v>
      </c>
      <c r="AD12" s="110">
        <v>3.8620000000000001</v>
      </c>
      <c r="AE12" s="110">
        <v>232.625</v>
      </c>
      <c r="AF12" s="111">
        <v>5.3441938647176057</v>
      </c>
      <c r="AG12" s="110">
        <v>3.556</v>
      </c>
      <c r="AH12" s="110">
        <v>191.08</v>
      </c>
      <c r="AI12" s="112">
        <v>4.8884925707685287</v>
      </c>
    </row>
    <row r="13" spans="2:35" ht="15" customHeight="1" x14ac:dyDescent="0.2">
      <c r="B13" s="109" t="s">
        <v>97</v>
      </c>
      <c r="C13" s="110">
        <v>7.6440000000000001</v>
      </c>
      <c r="D13" s="110">
        <v>597.82100000000003</v>
      </c>
      <c r="E13" s="111">
        <v>3.87057163852973</v>
      </c>
      <c r="F13" s="110">
        <v>7.5880000000000001</v>
      </c>
      <c r="G13" s="110">
        <v>629.66600000000005</v>
      </c>
      <c r="H13" s="111">
        <v>3.5068083063466289</v>
      </c>
      <c r="I13" s="110">
        <v>7.6440000000000001</v>
      </c>
      <c r="J13" s="110">
        <v>597.82100000000003</v>
      </c>
      <c r="K13" s="111">
        <v>3.87057163852973</v>
      </c>
      <c r="L13" s="110">
        <v>7.5880000000000001</v>
      </c>
      <c r="M13" s="110">
        <v>629.66600000000005</v>
      </c>
      <c r="N13" s="111">
        <v>3.5068083063466289</v>
      </c>
      <c r="O13" s="110">
        <v>10.167999999999999</v>
      </c>
      <c r="P13" s="110">
        <v>654.05700000000002</v>
      </c>
      <c r="Q13" s="111">
        <v>3.3202023311064361</v>
      </c>
      <c r="R13" s="110">
        <v>11.180999999999999</v>
      </c>
      <c r="S13" s="110">
        <v>621.61699999999996</v>
      </c>
      <c r="T13" s="111">
        <v>3.4313770340121259</v>
      </c>
      <c r="U13" s="110">
        <v>11.512</v>
      </c>
      <c r="V13" s="110">
        <v>564.98599999999999</v>
      </c>
      <c r="W13" s="111">
        <v>3.5783216727564517</v>
      </c>
      <c r="X13" s="110">
        <v>11.548</v>
      </c>
      <c r="Y13" s="110">
        <v>503.32100000000003</v>
      </c>
      <c r="Z13" s="111">
        <v>3.7030601146404978</v>
      </c>
      <c r="AA13" s="110">
        <v>11.061999999999999</v>
      </c>
      <c r="AB13" s="110">
        <v>433.07</v>
      </c>
      <c r="AC13" s="111">
        <v>3.7370335012194515</v>
      </c>
      <c r="AD13" s="110">
        <v>10.169</v>
      </c>
      <c r="AE13" s="110">
        <v>343.08600000000001</v>
      </c>
      <c r="AF13" s="111">
        <v>3.5493212023963552</v>
      </c>
      <c r="AG13" s="110">
        <v>9.1609999999999996</v>
      </c>
      <c r="AH13" s="110">
        <v>281.863</v>
      </c>
      <c r="AI13" s="112">
        <v>3.3671212100929115</v>
      </c>
    </row>
    <row r="14" spans="2:35" ht="15" customHeight="1" x14ac:dyDescent="0.2">
      <c r="B14" s="109" t="s">
        <v>98</v>
      </c>
      <c r="C14" s="110">
        <v>18.074999999999999</v>
      </c>
      <c r="D14" s="110">
        <v>477.47500000000002</v>
      </c>
      <c r="E14" s="111">
        <v>4.1231211050569492</v>
      </c>
      <c r="F14" s="110">
        <v>19.727</v>
      </c>
      <c r="G14" s="110">
        <v>502.25200000000001</v>
      </c>
      <c r="H14" s="111">
        <v>4.0113639603267037</v>
      </c>
      <c r="I14" s="110">
        <v>18.074999999999999</v>
      </c>
      <c r="J14" s="110">
        <v>477.47500000000002</v>
      </c>
      <c r="K14" s="111">
        <v>4.1231211050569492</v>
      </c>
      <c r="L14" s="110">
        <v>19.727</v>
      </c>
      <c r="M14" s="110">
        <v>502.25200000000001</v>
      </c>
      <c r="N14" s="111">
        <v>4.0113639603267037</v>
      </c>
      <c r="O14" s="110">
        <v>20.888000000000002</v>
      </c>
      <c r="P14" s="110">
        <v>441.91500000000002</v>
      </c>
      <c r="Q14" s="111">
        <v>4.0785143631633343</v>
      </c>
      <c r="R14" s="110">
        <v>20.88</v>
      </c>
      <c r="S14" s="110">
        <v>419.072</v>
      </c>
      <c r="T14" s="111">
        <v>4.1767031689619056</v>
      </c>
      <c r="U14" s="110">
        <v>20.736000000000001</v>
      </c>
      <c r="V14" s="110">
        <v>388.14100000000002</v>
      </c>
      <c r="W14" s="111">
        <v>4.2972356954638995</v>
      </c>
      <c r="X14" s="110">
        <v>20.712</v>
      </c>
      <c r="Y14" s="110">
        <v>352.51799999999997</v>
      </c>
      <c r="Z14" s="111">
        <v>4.3925945430143187</v>
      </c>
      <c r="AA14" s="110">
        <v>20.164000000000001</v>
      </c>
      <c r="AB14" s="110">
        <v>314.73200000000003</v>
      </c>
      <c r="AC14" s="111">
        <v>4.4137580494971234</v>
      </c>
      <c r="AD14" s="110">
        <v>18.876000000000001</v>
      </c>
      <c r="AE14" s="110">
        <v>280.14</v>
      </c>
      <c r="AF14" s="111">
        <v>4.3393928474712054</v>
      </c>
      <c r="AG14" s="110">
        <v>17.545999999999999</v>
      </c>
      <c r="AH14" s="110">
        <v>243.55699999999999</v>
      </c>
      <c r="AI14" s="112">
        <v>3.6931267872301015</v>
      </c>
    </row>
    <row r="15" spans="2:35" ht="15" customHeight="1" x14ac:dyDescent="0.2">
      <c r="B15" s="109" t="s">
        <v>248</v>
      </c>
      <c r="C15" s="110">
        <v>3.964</v>
      </c>
      <c r="D15" s="110">
        <v>197.053</v>
      </c>
      <c r="E15" s="111">
        <v>8.5833136657674025</v>
      </c>
      <c r="F15" s="110">
        <v>4.1150000000000002</v>
      </c>
      <c r="G15" s="110">
        <v>223.196</v>
      </c>
      <c r="H15" s="111">
        <v>7.6652326409048861</v>
      </c>
      <c r="I15" s="110">
        <v>3.964</v>
      </c>
      <c r="J15" s="110">
        <v>197.053</v>
      </c>
      <c r="K15" s="111">
        <v>8.5833136657674025</v>
      </c>
      <c r="L15" s="110">
        <v>4.1150000000000002</v>
      </c>
      <c r="M15" s="110">
        <v>223.196</v>
      </c>
      <c r="N15" s="111">
        <v>7.6652326409048861</v>
      </c>
      <c r="O15" s="110">
        <v>3.8140000000000001</v>
      </c>
      <c r="P15" s="110">
        <v>237.05</v>
      </c>
      <c r="Q15" s="111">
        <v>7.4437913245461633</v>
      </c>
      <c r="R15" s="110">
        <v>3.7719999999999998</v>
      </c>
      <c r="S15" s="110">
        <v>228.46299999999999</v>
      </c>
      <c r="T15" s="111">
        <v>7.5001013977977475</v>
      </c>
      <c r="U15" s="110">
        <v>3.7519999999999998</v>
      </c>
      <c r="V15" s="110">
        <v>219.37</v>
      </c>
      <c r="W15" s="111">
        <v>7.5425697287001086</v>
      </c>
      <c r="X15" s="110">
        <v>3.76</v>
      </c>
      <c r="Y15" s="110">
        <v>205.52199999999999</v>
      </c>
      <c r="Z15" s="111">
        <v>7.5412765908170547</v>
      </c>
      <c r="AA15" s="110">
        <v>3.8149999999999999</v>
      </c>
      <c r="AB15" s="110">
        <v>194.78800000000001</v>
      </c>
      <c r="AC15" s="111">
        <v>7.5613020340579249</v>
      </c>
      <c r="AD15" s="110">
        <v>3.8730000000000002</v>
      </c>
      <c r="AE15" s="110">
        <v>181.773</v>
      </c>
      <c r="AF15" s="111">
        <v>7.5885059512085373</v>
      </c>
      <c r="AG15" s="110">
        <v>3.9630000000000001</v>
      </c>
      <c r="AH15" s="110">
        <v>173.25700000000001</v>
      </c>
      <c r="AI15" s="112">
        <v>7.5882898368867746</v>
      </c>
    </row>
    <row r="16" spans="2:35" ht="15" customHeight="1" x14ac:dyDescent="0.2">
      <c r="B16" s="109" t="s">
        <v>100</v>
      </c>
      <c r="C16" s="110">
        <v>1.3029999999999999</v>
      </c>
      <c r="D16" s="110">
        <v>188.46899999999999</v>
      </c>
      <c r="E16" s="111">
        <v>5.008851900465352</v>
      </c>
      <c r="F16" s="110">
        <v>1.3520000000000001</v>
      </c>
      <c r="G16" s="110">
        <v>207.85499999999999</v>
      </c>
      <c r="H16" s="111">
        <v>4.584106711615612</v>
      </c>
      <c r="I16" s="110">
        <v>1.3029999999999999</v>
      </c>
      <c r="J16" s="110">
        <v>188.46899999999999</v>
      </c>
      <c r="K16" s="111">
        <v>5.008851900465352</v>
      </c>
      <c r="L16" s="110">
        <v>1.3520000000000001</v>
      </c>
      <c r="M16" s="110">
        <v>207.85499999999999</v>
      </c>
      <c r="N16" s="111">
        <v>4.584106711615612</v>
      </c>
      <c r="O16" s="110">
        <v>1.0409999999999999</v>
      </c>
      <c r="P16" s="110">
        <v>194.28700000000001</v>
      </c>
      <c r="Q16" s="111">
        <v>4.3573744403380061</v>
      </c>
      <c r="R16" s="110">
        <v>0.92300000000000004</v>
      </c>
      <c r="S16" s="110">
        <v>168.50700000000001</v>
      </c>
      <c r="T16" s="111">
        <v>4.3667639671909253</v>
      </c>
      <c r="U16" s="110">
        <v>0.80200000000000005</v>
      </c>
      <c r="V16" s="110">
        <v>145.54400000000001</v>
      </c>
      <c r="W16" s="111">
        <v>4.5371822079930073</v>
      </c>
      <c r="X16" s="110">
        <v>0.73</v>
      </c>
      <c r="Y16" s="110">
        <v>125.21</v>
      </c>
      <c r="Z16" s="111">
        <v>4.820608716218282</v>
      </c>
      <c r="AA16" s="110">
        <v>0.63900000000000001</v>
      </c>
      <c r="AB16" s="110">
        <v>106.712</v>
      </c>
      <c r="AC16" s="111">
        <v>4.9679103798513706</v>
      </c>
      <c r="AD16" s="110">
        <v>0.57399999999999995</v>
      </c>
      <c r="AE16" s="110">
        <v>95.376999999999995</v>
      </c>
      <c r="AF16" s="111">
        <v>5.249287231736508</v>
      </c>
      <c r="AG16" s="110">
        <v>0.53500000000000003</v>
      </c>
      <c r="AH16" s="110">
        <v>88.582999999999998</v>
      </c>
      <c r="AI16" s="112">
        <v>5.3092895355256369</v>
      </c>
    </row>
    <row r="17" spans="2:35" ht="15" customHeight="1" x14ac:dyDescent="0.2">
      <c r="B17" s="109" t="s">
        <v>101</v>
      </c>
      <c r="C17" s="110">
        <v>8.9999999999999993E-3</v>
      </c>
      <c r="D17" s="110">
        <v>146.839</v>
      </c>
      <c r="E17" s="111">
        <v>5.8271322024917493</v>
      </c>
      <c r="F17" s="110">
        <v>8.9999999999999993E-3</v>
      </c>
      <c r="G17" s="110">
        <v>178.935</v>
      </c>
      <c r="H17" s="111">
        <v>5.1983544197335592</v>
      </c>
      <c r="I17" s="110">
        <v>8.9999999999999993E-3</v>
      </c>
      <c r="J17" s="110">
        <v>146.839</v>
      </c>
      <c r="K17" s="111">
        <v>5.8271322024917493</v>
      </c>
      <c r="L17" s="110">
        <v>8.9999999999999993E-3</v>
      </c>
      <c r="M17" s="110">
        <v>178.935</v>
      </c>
      <c r="N17" s="111">
        <v>5.1983544197335592</v>
      </c>
      <c r="O17" s="110">
        <v>0.01</v>
      </c>
      <c r="P17" s="110">
        <v>244.71199999999999</v>
      </c>
      <c r="Q17" s="111">
        <v>7.6750856743557119</v>
      </c>
      <c r="R17" s="110">
        <v>8.9999999999999993E-3</v>
      </c>
      <c r="S17" s="110">
        <v>246.13</v>
      </c>
      <c r="T17" s="111">
        <v>8.3720773088541289</v>
      </c>
      <c r="U17" s="110">
        <v>8.9999999999999993E-3</v>
      </c>
      <c r="V17" s="110">
        <v>240.18700000000001</v>
      </c>
      <c r="W17" s="111">
        <v>8.8077178385976129</v>
      </c>
      <c r="X17" s="110">
        <v>8.9999999999999993E-3</v>
      </c>
      <c r="Y17" s="110">
        <v>230.79900000000001</v>
      </c>
      <c r="Z17" s="111">
        <v>8.8099485657288135</v>
      </c>
      <c r="AA17" s="110">
        <v>8.9999999999999993E-3</v>
      </c>
      <c r="AB17" s="110">
        <v>220.84100000000001</v>
      </c>
      <c r="AC17" s="111">
        <v>9.0907667497283473</v>
      </c>
      <c r="AD17" s="110">
        <v>7.0000000000000001E-3</v>
      </c>
      <c r="AE17" s="110">
        <v>210.40899999999999</v>
      </c>
      <c r="AF17" s="111">
        <v>9.2851364447286624</v>
      </c>
      <c r="AG17" s="110">
        <v>7.0000000000000001E-3</v>
      </c>
      <c r="AH17" s="110">
        <v>198.53800000000001</v>
      </c>
      <c r="AI17" s="112">
        <v>9.4748091104330587</v>
      </c>
    </row>
    <row r="18" spans="2:35" ht="15" customHeight="1" x14ac:dyDescent="0.2">
      <c r="B18" s="109" t="s">
        <v>102</v>
      </c>
      <c r="C18" s="110">
        <v>1.528</v>
      </c>
      <c r="D18" s="110">
        <v>123.751</v>
      </c>
      <c r="E18" s="111">
        <v>9.0285925723137606</v>
      </c>
      <c r="F18" s="110">
        <v>1.4319999999999999</v>
      </c>
      <c r="G18" s="110">
        <v>147.965</v>
      </c>
      <c r="H18" s="111">
        <v>7.3441243616324101</v>
      </c>
      <c r="I18" s="110">
        <v>1.528</v>
      </c>
      <c r="J18" s="110">
        <v>123.751</v>
      </c>
      <c r="K18" s="111">
        <v>9.0285925723137606</v>
      </c>
      <c r="L18" s="110">
        <v>1.4319999999999999</v>
      </c>
      <c r="M18" s="110">
        <v>147.965</v>
      </c>
      <c r="N18" s="111">
        <v>7.3441243616324101</v>
      </c>
      <c r="O18" s="110">
        <v>1.2829999999999999</v>
      </c>
      <c r="P18" s="110">
        <v>130.55799999999999</v>
      </c>
      <c r="Q18" s="111">
        <v>7.1427273791942127</v>
      </c>
      <c r="R18" s="110">
        <v>1.2070000000000001</v>
      </c>
      <c r="S18" s="110">
        <v>114.95699999999999</v>
      </c>
      <c r="T18" s="111">
        <v>7.1114126995874543</v>
      </c>
      <c r="U18" s="110">
        <v>1.1100000000000001</v>
      </c>
      <c r="V18" s="110">
        <v>102.21299999999999</v>
      </c>
      <c r="W18" s="111">
        <v>7.1992720604723353</v>
      </c>
      <c r="X18" s="110">
        <v>1.044</v>
      </c>
      <c r="Y18" s="110">
        <v>88.34</v>
      </c>
      <c r="Z18" s="111">
        <v>7.2300620083578524</v>
      </c>
      <c r="AA18" s="110">
        <v>0.98399999999999999</v>
      </c>
      <c r="AB18" s="110">
        <v>76.968999999999994</v>
      </c>
      <c r="AC18" s="111">
        <v>7.2689125441482956</v>
      </c>
      <c r="AD18" s="110">
        <v>0.998</v>
      </c>
      <c r="AE18" s="110">
        <v>65.753</v>
      </c>
      <c r="AF18" s="111">
        <v>6.8905094335077042</v>
      </c>
      <c r="AG18" s="110">
        <v>0.98</v>
      </c>
      <c r="AH18" s="110">
        <v>58.192999999999998</v>
      </c>
      <c r="AI18" s="112">
        <v>6.8361690202732754</v>
      </c>
    </row>
    <row r="19" spans="2:35" ht="15" customHeight="1" x14ac:dyDescent="0.2">
      <c r="B19" s="109" t="s">
        <v>103</v>
      </c>
      <c r="C19" s="110">
        <v>4.2999999999999997E-2</v>
      </c>
      <c r="D19" s="110">
        <v>160.82599999999999</v>
      </c>
      <c r="E19" s="111">
        <v>7.711606058684108</v>
      </c>
      <c r="F19" s="110">
        <v>7.0999999999999994E-2</v>
      </c>
      <c r="G19" s="110">
        <v>211.376</v>
      </c>
      <c r="H19" s="111">
        <v>5.6418892561895317</v>
      </c>
      <c r="I19" s="110">
        <v>4.2999999999999997E-2</v>
      </c>
      <c r="J19" s="110">
        <v>160.82599999999999</v>
      </c>
      <c r="K19" s="111">
        <v>7.711606058684108</v>
      </c>
      <c r="L19" s="110">
        <v>7.0999999999999994E-2</v>
      </c>
      <c r="M19" s="110">
        <v>211.376</v>
      </c>
      <c r="N19" s="111">
        <v>5.6418892561895317</v>
      </c>
      <c r="O19" s="110">
        <v>0.122</v>
      </c>
      <c r="P19" s="110">
        <v>255.262</v>
      </c>
      <c r="Q19" s="111">
        <v>5.4644580482542322</v>
      </c>
      <c r="R19" s="110">
        <v>0.122</v>
      </c>
      <c r="S19" s="110">
        <v>252.45599999999999</v>
      </c>
      <c r="T19" s="111">
        <v>5.5053738457677399</v>
      </c>
      <c r="U19" s="110">
        <v>0.12</v>
      </c>
      <c r="V19" s="110">
        <v>244.596</v>
      </c>
      <c r="W19" s="111">
        <v>5.5535576096851322</v>
      </c>
      <c r="X19" s="110">
        <v>0.112</v>
      </c>
      <c r="Y19" s="110">
        <v>232.321</v>
      </c>
      <c r="Z19" s="111">
        <v>5.5875611543504409</v>
      </c>
      <c r="AA19" s="110">
        <v>0.104</v>
      </c>
      <c r="AB19" s="110">
        <v>218.816</v>
      </c>
      <c r="AC19" s="111">
        <v>5.6067100050245493</v>
      </c>
      <c r="AD19" s="110">
        <v>0.107</v>
      </c>
      <c r="AE19" s="110">
        <v>204.76300000000001</v>
      </c>
      <c r="AF19" s="111">
        <v>5.6165038582621634</v>
      </c>
      <c r="AG19" s="110">
        <v>0.112</v>
      </c>
      <c r="AH19" s="110">
        <v>188.953</v>
      </c>
      <c r="AI19" s="112">
        <v>5.6167185748910118</v>
      </c>
    </row>
    <row r="20" spans="2:35" ht="15" customHeight="1" x14ac:dyDescent="0.2">
      <c r="B20" s="113" t="s">
        <v>104</v>
      </c>
      <c r="C20" s="114">
        <v>37.838999999999999</v>
      </c>
      <c r="D20" s="114">
        <v>541.51300000000003</v>
      </c>
      <c r="E20" s="115">
        <v>3.7490941773880397</v>
      </c>
      <c r="F20" s="114">
        <v>40.880000000000003</v>
      </c>
      <c r="G20" s="114">
        <v>648.88400000000001</v>
      </c>
      <c r="H20" s="115">
        <v>3.3888085678223288</v>
      </c>
      <c r="I20" s="114">
        <v>37.838999999999999</v>
      </c>
      <c r="J20" s="114">
        <v>541.51300000000003</v>
      </c>
      <c r="K20" s="115">
        <v>3.7490941773880397</v>
      </c>
      <c r="L20" s="114">
        <v>40.880000000000003</v>
      </c>
      <c r="M20" s="114">
        <v>648.88400000000001</v>
      </c>
      <c r="N20" s="115">
        <v>3.3888085678223288</v>
      </c>
      <c r="O20" s="114">
        <v>44.46</v>
      </c>
      <c r="P20" s="114">
        <v>748.54200000000003</v>
      </c>
      <c r="Q20" s="115">
        <v>3.2179019200724412</v>
      </c>
      <c r="R20" s="114">
        <v>41.768999999999998</v>
      </c>
      <c r="S20" s="114">
        <v>727.99699999999996</v>
      </c>
      <c r="T20" s="115">
        <v>3.2735829362741469</v>
      </c>
      <c r="U20" s="114">
        <v>38.508000000000003</v>
      </c>
      <c r="V20" s="114">
        <v>689.197</v>
      </c>
      <c r="W20" s="115">
        <v>3.3036355410799141</v>
      </c>
      <c r="X20" s="114">
        <v>35.603000000000002</v>
      </c>
      <c r="Y20" s="114">
        <v>642.42999999999995</v>
      </c>
      <c r="Z20" s="115">
        <v>3.355226188065084</v>
      </c>
      <c r="AA20" s="114">
        <v>32.246000000000002</v>
      </c>
      <c r="AB20" s="114">
        <v>598.36199999999997</v>
      </c>
      <c r="AC20" s="115">
        <v>3.462418913066855</v>
      </c>
      <c r="AD20" s="114">
        <v>29.321000000000002</v>
      </c>
      <c r="AE20" s="114">
        <v>556.15599999999995</v>
      </c>
      <c r="AF20" s="115">
        <v>3.4872188366557197</v>
      </c>
      <c r="AG20" s="114">
        <v>26.753</v>
      </c>
      <c r="AH20" s="114">
        <v>520.09400000000005</v>
      </c>
      <c r="AI20" s="116">
        <v>3.461891884825127</v>
      </c>
    </row>
    <row r="23" spans="2:35" ht="15" customHeight="1" x14ac:dyDescent="0.2">
      <c r="B23" s="1145" t="s">
        <v>77</v>
      </c>
      <c r="C23" s="1141" t="s">
        <v>332</v>
      </c>
      <c r="D23" s="1141"/>
      <c r="E23" s="1141"/>
      <c r="F23" s="1141" t="s">
        <v>222</v>
      </c>
      <c r="G23" s="1141"/>
      <c r="H23" s="1133"/>
    </row>
    <row r="24" spans="2:35" ht="15" customHeight="1" x14ac:dyDescent="0.2">
      <c r="B24" s="1146"/>
      <c r="C24" s="325" t="s">
        <v>78</v>
      </c>
      <c r="D24" s="1137" t="s">
        <v>79</v>
      </c>
      <c r="E24" s="1137"/>
      <c r="F24" s="899" t="s">
        <v>78</v>
      </c>
      <c r="G24" s="1137" t="s">
        <v>79</v>
      </c>
      <c r="H24" s="1127"/>
    </row>
    <row r="25" spans="2:35" ht="30" customHeight="1" x14ac:dyDescent="0.2">
      <c r="B25" s="1146"/>
      <c r="C25" s="1138" t="s">
        <v>326</v>
      </c>
      <c r="D25" s="1138"/>
      <c r="E25" s="16" t="s">
        <v>82</v>
      </c>
      <c r="F25" s="1138" t="s">
        <v>326</v>
      </c>
      <c r="G25" s="1138"/>
      <c r="H25" s="17" t="s">
        <v>82</v>
      </c>
    </row>
    <row r="26" spans="2:35" ht="15" customHeight="1" x14ac:dyDescent="0.2">
      <c r="B26" s="144" t="str">
        <f>Index!$B$4</f>
        <v>England</v>
      </c>
      <c r="C26" s="105"/>
      <c r="D26" s="105"/>
      <c r="E26" s="106"/>
      <c r="F26" s="105"/>
      <c r="G26" s="105"/>
      <c r="H26" s="106"/>
    </row>
    <row r="27" spans="2:35" ht="15" customHeight="1" x14ac:dyDescent="0.2">
      <c r="B27" s="107" t="s">
        <v>105</v>
      </c>
      <c r="C27" s="108">
        <v>191.26599999999999</v>
      </c>
      <c r="D27" s="108">
        <v>3871.9789999999998</v>
      </c>
      <c r="E27" s="119">
        <v>1.550731704843719</v>
      </c>
      <c r="F27" s="108">
        <v>195.51300000000001</v>
      </c>
      <c r="G27" s="108">
        <v>4288.8770000000004</v>
      </c>
      <c r="H27" s="120">
        <v>1.160582722656663</v>
      </c>
    </row>
    <row r="28" spans="2:35" ht="15" customHeight="1" x14ac:dyDescent="0.2">
      <c r="B28" s="109" t="s">
        <v>94</v>
      </c>
      <c r="C28" s="110">
        <v>44.252000000000002</v>
      </c>
      <c r="D28" s="110">
        <v>779.95600000000002</v>
      </c>
      <c r="E28" s="111">
        <v>3.5071642917190182</v>
      </c>
      <c r="F28" s="110">
        <v>44.481999999999999</v>
      </c>
      <c r="G28" s="110">
        <v>805.51300000000003</v>
      </c>
      <c r="H28" s="112">
        <v>2.9192456882294464</v>
      </c>
    </row>
    <row r="29" spans="2:35" ht="15" customHeight="1" x14ac:dyDescent="0.2">
      <c r="B29" s="109" t="s">
        <v>95</v>
      </c>
      <c r="C29" s="110">
        <v>73.396000000000001</v>
      </c>
      <c r="D29" s="110">
        <v>347.64699999999999</v>
      </c>
      <c r="E29" s="111">
        <v>8.600758527550628</v>
      </c>
      <c r="F29" s="110">
        <v>72.665000000000006</v>
      </c>
      <c r="G29" s="110">
        <v>391.233</v>
      </c>
      <c r="H29" s="112">
        <v>5.1335570630472898</v>
      </c>
    </row>
    <row r="30" spans="2:35" ht="15" customHeight="1" x14ac:dyDescent="0.2">
      <c r="B30" s="109" t="s">
        <v>96</v>
      </c>
      <c r="C30" s="110">
        <v>3.2120000000000002</v>
      </c>
      <c r="D30" s="110">
        <v>307.96899999999999</v>
      </c>
      <c r="E30" s="111">
        <v>5.4797017546975937</v>
      </c>
      <c r="F30" s="110">
        <v>3.1840000000000002</v>
      </c>
      <c r="G30" s="110">
        <v>337.67399999999998</v>
      </c>
      <c r="H30" s="112">
        <v>4.4680124940731352</v>
      </c>
    </row>
    <row r="31" spans="2:35" ht="15" customHeight="1" x14ac:dyDescent="0.2">
      <c r="B31" s="109" t="s">
        <v>97</v>
      </c>
      <c r="C31" s="110">
        <v>7.6440000000000001</v>
      </c>
      <c r="D31" s="110">
        <v>597.82100000000003</v>
      </c>
      <c r="E31" s="111">
        <v>3.87057163852973</v>
      </c>
      <c r="F31" s="110">
        <v>7.5880000000000001</v>
      </c>
      <c r="G31" s="110">
        <v>629.66600000000005</v>
      </c>
      <c r="H31" s="112">
        <v>3.5068083063466289</v>
      </c>
    </row>
    <row r="32" spans="2:35" ht="15" customHeight="1" x14ac:dyDescent="0.2">
      <c r="B32" s="109" t="s">
        <v>98</v>
      </c>
      <c r="C32" s="110">
        <v>18.074999999999999</v>
      </c>
      <c r="D32" s="110">
        <v>477.47500000000002</v>
      </c>
      <c r="E32" s="111">
        <v>4.1231211050569492</v>
      </c>
      <c r="F32" s="110">
        <v>19.727</v>
      </c>
      <c r="G32" s="110">
        <v>502.25200000000001</v>
      </c>
      <c r="H32" s="112">
        <v>4.0113639603267037</v>
      </c>
    </row>
    <row r="33" spans="2:8" ht="15" customHeight="1" x14ac:dyDescent="0.2">
      <c r="B33" s="109" t="s">
        <v>248</v>
      </c>
      <c r="C33" s="110">
        <v>3.964</v>
      </c>
      <c r="D33" s="110">
        <v>197.053</v>
      </c>
      <c r="E33" s="111">
        <v>8.5833136657674025</v>
      </c>
      <c r="F33" s="110">
        <v>4.1150000000000002</v>
      </c>
      <c r="G33" s="110">
        <v>223.196</v>
      </c>
      <c r="H33" s="112">
        <v>7.6652326409048861</v>
      </c>
    </row>
    <row r="34" spans="2:8" ht="15" customHeight="1" x14ac:dyDescent="0.2">
      <c r="B34" s="109" t="s">
        <v>100</v>
      </c>
      <c r="C34" s="110">
        <v>1.3029999999999999</v>
      </c>
      <c r="D34" s="110">
        <v>188.46899999999999</v>
      </c>
      <c r="E34" s="111">
        <v>5.008851900465352</v>
      </c>
      <c r="F34" s="110">
        <v>1.3520000000000001</v>
      </c>
      <c r="G34" s="110">
        <v>207.85499999999999</v>
      </c>
      <c r="H34" s="112">
        <v>4.584106711615612</v>
      </c>
    </row>
    <row r="35" spans="2:8" ht="15" customHeight="1" x14ac:dyDescent="0.2">
      <c r="B35" s="109" t="s">
        <v>101</v>
      </c>
      <c r="C35" s="110">
        <v>8.9999999999999993E-3</v>
      </c>
      <c r="D35" s="110">
        <v>146.839</v>
      </c>
      <c r="E35" s="111">
        <v>5.8271322024917493</v>
      </c>
      <c r="F35" s="110">
        <v>8.9999999999999993E-3</v>
      </c>
      <c r="G35" s="110">
        <v>178.935</v>
      </c>
      <c r="H35" s="112">
        <v>5.1983544197335592</v>
      </c>
    </row>
    <row r="36" spans="2:8" ht="15" customHeight="1" x14ac:dyDescent="0.2">
      <c r="B36" s="109" t="s">
        <v>102</v>
      </c>
      <c r="C36" s="110">
        <v>1.528</v>
      </c>
      <c r="D36" s="110">
        <v>123.751</v>
      </c>
      <c r="E36" s="111">
        <v>9.0285925723137606</v>
      </c>
      <c r="F36" s="110">
        <v>1.4319999999999999</v>
      </c>
      <c r="G36" s="110">
        <v>147.965</v>
      </c>
      <c r="H36" s="112">
        <v>7.3441243616324101</v>
      </c>
    </row>
    <row r="37" spans="2:8" ht="15" customHeight="1" x14ac:dyDescent="0.2">
      <c r="B37" s="109" t="s">
        <v>103</v>
      </c>
      <c r="C37" s="110">
        <v>4.2999999999999997E-2</v>
      </c>
      <c r="D37" s="110">
        <v>160.82599999999999</v>
      </c>
      <c r="E37" s="111">
        <v>7.711606058684108</v>
      </c>
      <c r="F37" s="110">
        <v>7.0999999999999994E-2</v>
      </c>
      <c r="G37" s="110">
        <v>211.376</v>
      </c>
      <c r="H37" s="112">
        <v>5.6418892561895317</v>
      </c>
    </row>
    <row r="38" spans="2:8" ht="15" customHeight="1" x14ac:dyDescent="0.2">
      <c r="B38" s="113" t="s">
        <v>104</v>
      </c>
      <c r="C38" s="114">
        <v>37.838999999999999</v>
      </c>
      <c r="D38" s="114">
        <v>541.51300000000003</v>
      </c>
      <c r="E38" s="115">
        <v>3.7490941773880397</v>
      </c>
      <c r="F38" s="114">
        <v>40.880000000000003</v>
      </c>
      <c r="G38" s="114">
        <v>648.88400000000001</v>
      </c>
      <c r="H38" s="116">
        <v>3.3888085678223288</v>
      </c>
    </row>
    <row r="41" spans="2:8" ht="15" customHeight="1" x14ac:dyDescent="0.2">
      <c r="B41" s="1145" t="s">
        <v>77</v>
      </c>
      <c r="C41" s="1141" t="s">
        <v>225</v>
      </c>
      <c r="D41" s="1141"/>
      <c r="E41" s="1141"/>
      <c r="F41" s="1141" t="s">
        <v>226</v>
      </c>
      <c r="G41" s="1141"/>
      <c r="H41" s="1133"/>
    </row>
    <row r="42" spans="2:8" ht="15" customHeight="1" x14ac:dyDescent="0.2">
      <c r="B42" s="1146"/>
      <c r="C42" s="325" t="s">
        <v>78</v>
      </c>
      <c r="D42" s="1137" t="s">
        <v>79</v>
      </c>
      <c r="E42" s="1137"/>
      <c r="F42" s="899" t="s">
        <v>78</v>
      </c>
      <c r="G42" s="1137" t="s">
        <v>79</v>
      </c>
      <c r="H42" s="1127"/>
    </row>
    <row r="43" spans="2:8" ht="30" customHeight="1" x14ac:dyDescent="0.2">
      <c r="B43" s="1146"/>
      <c r="C43" s="1138" t="s">
        <v>326</v>
      </c>
      <c r="D43" s="1138"/>
      <c r="E43" s="16" t="s">
        <v>82</v>
      </c>
      <c r="F43" s="1138" t="s">
        <v>326</v>
      </c>
      <c r="G43" s="1138"/>
      <c r="H43" s="17" t="s">
        <v>82</v>
      </c>
    </row>
    <row r="44" spans="2:8" ht="15" customHeight="1" x14ac:dyDescent="0.2">
      <c r="B44" s="144" t="str">
        <f>Index!$B$4</f>
        <v>England</v>
      </c>
      <c r="C44" s="105"/>
      <c r="D44" s="105"/>
      <c r="E44" s="106"/>
      <c r="F44" s="105"/>
      <c r="G44" s="105"/>
      <c r="H44" s="106"/>
    </row>
    <row r="45" spans="2:8" ht="15" customHeight="1" x14ac:dyDescent="0.2">
      <c r="B45" s="107" t="s">
        <v>105</v>
      </c>
      <c r="C45" s="108">
        <v>191.26599999999999</v>
      </c>
      <c r="D45" s="108">
        <v>3871.9789999999998</v>
      </c>
      <c r="E45" s="119">
        <v>1.550731704843719</v>
      </c>
      <c r="F45" s="108">
        <v>195.51300000000001</v>
      </c>
      <c r="G45" s="108">
        <v>4288.8770000000004</v>
      </c>
      <c r="H45" s="120">
        <v>1.160582722656663</v>
      </c>
    </row>
    <row r="46" spans="2:8" ht="15" customHeight="1" x14ac:dyDescent="0.2">
      <c r="B46" s="109" t="s">
        <v>94</v>
      </c>
      <c r="C46" s="110">
        <v>44.252000000000002</v>
      </c>
      <c r="D46" s="110">
        <v>779.95600000000002</v>
      </c>
      <c r="E46" s="111">
        <v>3.5071642917190182</v>
      </c>
      <c r="F46" s="110">
        <v>44.481999999999999</v>
      </c>
      <c r="G46" s="110">
        <v>805.51300000000003</v>
      </c>
      <c r="H46" s="112">
        <v>2.9192456882294464</v>
      </c>
    </row>
    <row r="47" spans="2:8" ht="15" customHeight="1" x14ac:dyDescent="0.2">
      <c r="B47" s="109" t="s">
        <v>95</v>
      </c>
      <c r="C47" s="110">
        <v>73.396000000000001</v>
      </c>
      <c r="D47" s="110">
        <v>347.64699999999999</v>
      </c>
      <c r="E47" s="111">
        <v>8.600758527550628</v>
      </c>
      <c r="F47" s="110">
        <v>72.665000000000006</v>
      </c>
      <c r="G47" s="110">
        <v>391.233</v>
      </c>
      <c r="H47" s="112">
        <v>5.1335570630472898</v>
      </c>
    </row>
    <row r="48" spans="2:8" ht="15" customHeight="1" x14ac:dyDescent="0.2">
      <c r="B48" s="109" t="s">
        <v>96</v>
      </c>
      <c r="C48" s="110">
        <v>3.2120000000000002</v>
      </c>
      <c r="D48" s="110">
        <v>307.96899999999999</v>
      </c>
      <c r="E48" s="111">
        <v>5.4797017546975937</v>
      </c>
      <c r="F48" s="110">
        <v>3.1840000000000002</v>
      </c>
      <c r="G48" s="110">
        <v>337.67399999999998</v>
      </c>
      <c r="H48" s="112">
        <v>4.4680124940731352</v>
      </c>
    </row>
    <row r="49" spans="2:8" ht="15" customHeight="1" x14ac:dyDescent="0.2">
      <c r="B49" s="109" t="s">
        <v>97</v>
      </c>
      <c r="C49" s="110">
        <v>7.6440000000000001</v>
      </c>
      <c r="D49" s="110">
        <v>597.82100000000003</v>
      </c>
      <c r="E49" s="111">
        <v>3.87057163852973</v>
      </c>
      <c r="F49" s="110">
        <v>7.5880000000000001</v>
      </c>
      <c r="G49" s="110">
        <v>629.66600000000005</v>
      </c>
      <c r="H49" s="112">
        <v>3.5068083063466289</v>
      </c>
    </row>
    <row r="50" spans="2:8" ht="15" customHeight="1" x14ac:dyDescent="0.2">
      <c r="B50" s="109" t="s">
        <v>98</v>
      </c>
      <c r="C50" s="110">
        <v>18.074999999999999</v>
      </c>
      <c r="D50" s="110">
        <v>477.47500000000002</v>
      </c>
      <c r="E50" s="111">
        <v>4.1231211050569492</v>
      </c>
      <c r="F50" s="110">
        <v>19.727</v>
      </c>
      <c r="G50" s="110">
        <v>502.25200000000001</v>
      </c>
      <c r="H50" s="112">
        <v>4.0113639603267037</v>
      </c>
    </row>
    <row r="51" spans="2:8" ht="15" customHeight="1" x14ac:dyDescent="0.2">
      <c r="B51" s="109" t="s">
        <v>248</v>
      </c>
      <c r="C51" s="110">
        <v>3.964</v>
      </c>
      <c r="D51" s="110">
        <v>197.053</v>
      </c>
      <c r="E51" s="111">
        <v>8.5833136657674025</v>
      </c>
      <c r="F51" s="110">
        <v>4.1150000000000002</v>
      </c>
      <c r="G51" s="110">
        <v>223.196</v>
      </c>
      <c r="H51" s="112">
        <v>7.6652326409048861</v>
      </c>
    </row>
    <row r="52" spans="2:8" ht="15" customHeight="1" x14ac:dyDescent="0.2">
      <c r="B52" s="109" t="s">
        <v>100</v>
      </c>
      <c r="C52" s="110">
        <v>1.3029999999999999</v>
      </c>
      <c r="D52" s="110">
        <v>188.46899999999999</v>
      </c>
      <c r="E52" s="111">
        <v>5.008851900465352</v>
      </c>
      <c r="F52" s="110">
        <v>1.3520000000000001</v>
      </c>
      <c r="G52" s="110">
        <v>207.85499999999999</v>
      </c>
      <c r="H52" s="112">
        <v>4.584106711615612</v>
      </c>
    </row>
    <row r="53" spans="2:8" ht="15" customHeight="1" x14ac:dyDescent="0.2">
      <c r="B53" s="109" t="s">
        <v>101</v>
      </c>
      <c r="C53" s="110">
        <v>8.9999999999999993E-3</v>
      </c>
      <c r="D53" s="110">
        <v>146.839</v>
      </c>
      <c r="E53" s="111">
        <v>5.8271322024917493</v>
      </c>
      <c r="F53" s="110">
        <v>8.9999999999999993E-3</v>
      </c>
      <c r="G53" s="110">
        <v>178.935</v>
      </c>
      <c r="H53" s="112">
        <v>5.1983544197335592</v>
      </c>
    </row>
    <row r="54" spans="2:8" ht="15" customHeight="1" x14ac:dyDescent="0.2">
      <c r="B54" s="109" t="s">
        <v>102</v>
      </c>
      <c r="C54" s="110">
        <v>1.528</v>
      </c>
      <c r="D54" s="110">
        <v>123.751</v>
      </c>
      <c r="E54" s="111">
        <v>9.0285925723137606</v>
      </c>
      <c r="F54" s="110">
        <v>1.4319999999999999</v>
      </c>
      <c r="G54" s="110">
        <v>147.965</v>
      </c>
      <c r="H54" s="112">
        <v>7.3441243616324101</v>
      </c>
    </row>
    <row r="55" spans="2:8" ht="15" customHeight="1" x14ac:dyDescent="0.2">
      <c r="B55" s="109" t="s">
        <v>103</v>
      </c>
      <c r="C55" s="110">
        <v>4.2999999999999997E-2</v>
      </c>
      <c r="D55" s="110">
        <v>160.82599999999999</v>
      </c>
      <c r="E55" s="111">
        <v>7.711606058684108</v>
      </c>
      <c r="F55" s="110">
        <v>7.0999999999999994E-2</v>
      </c>
      <c r="G55" s="110">
        <v>211.376</v>
      </c>
      <c r="H55" s="112">
        <v>5.6418892561895317</v>
      </c>
    </row>
    <row r="56" spans="2:8" ht="15" customHeight="1" x14ac:dyDescent="0.2">
      <c r="B56" s="113" t="s">
        <v>104</v>
      </c>
      <c r="C56" s="114">
        <v>37.838999999999999</v>
      </c>
      <c r="D56" s="114">
        <v>541.51300000000003</v>
      </c>
      <c r="E56" s="115">
        <v>3.7490941773880397</v>
      </c>
      <c r="F56" s="114">
        <v>40.880000000000003</v>
      </c>
      <c r="G56" s="114">
        <v>648.88400000000001</v>
      </c>
      <c r="H56" s="116">
        <v>3.3888085678223288</v>
      </c>
    </row>
    <row r="59" spans="2:8" ht="15" customHeight="1" x14ac:dyDescent="0.2">
      <c r="B59" s="1145" t="s">
        <v>77</v>
      </c>
      <c r="C59" s="1141" t="s">
        <v>227</v>
      </c>
      <c r="D59" s="1141"/>
      <c r="E59" s="1141"/>
      <c r="F59" s="1141" t="s">
        <v>228</v>
      </c>
      <c r="G59" s="1141"/>
      <c r="H59" s="1133"/>
    </row>
    <row r="60" spans="2:8" ht="15" customHeight="1" x14ac:dyDescent="0.2">
      <c r="B60" s="1146"/>
      <c r="C60" s="325" t="s">
        <v>78</v>
      </c>
      <c r="D60" s="1137" t="s">
        <v>79</v>
      </c>
      <c r="E60" s="1137"/>
      <c r="F60" s="899" t="s">
        <v>78</v>
      </c>
      <c r="G60" s="1137" t="s">
        <v>79</v>
      </c>
      <c r="H60" s="1127"/>
    </row>
    <row r="61" spans="2:8" ht="30" customHeight="1" x14ac:dyDescent="0.2">
      <c r="B61" s="1146"/>
      <c r="C61" s="1138" t="s">
        <v>326</v>
      </c>
      <c r="D61" s="1138"/>
      <c r="E61" s="16" t="s">
        <v>82</v>
      </c>
      <c r="F61" s="1138" t="s">
        <v>326</v>
      </c>
      <c r="G61" s="1138"/>
      <c r="H61" s="17" t="s">
        <v>82</v>
      </c>
    </row>
    <row r="62" spans="2:8" ht="15" customHeight="1" x14ac:dyDescent="0.2">
      <c r="B62" s="144" t="str">
        <f>Index!$B$4</f>
        <v>England</v>
      </c>
      <c r="C62" s="105"/>
      <c r="D62" s="105"/>
      <c r="E62" s="106"/>
      <c r="F62" s="105"/>
      <c r="G62" s="105"/>
      <c r="H62" s="106"/>
    </row>
    <row r="63" spans="2:8" ht="15" customHeight="1" x14ac:dyDescent="0.2">
      <c r="B63" s="107" t="s">
        <v>105</v>
      </c>
      <c r="C63" s="108">
        <v>195.90299999999999</v>
      </c>
      <c r="D63" s="108">
        <v>4415.8909999999996</v>
      </c>
      <c r="E63" s="119">
        <v>1.1376813881991792</v>
      </c>
      <c r="F63" s="108">
        <v>193.75</v>
      </c>
      <c r="G63" s="108">
        <v>4250.16</v>
      </c>
      <c r="H63" s="120">
        <v>1.1737771999297695</v>
      </c>
    </row>
    <row r="64" spans="2:8" ht="15" customHeight="1" x14ac:dyDescent="0.2">
      <c r="B64" s="109" t="s">
        <v>94</v>
      </c>
      <c r="C64" s="110">
        <v>44.89</v>
      </c>
      <c r="D64" s="110">
        <v>744.89599999999996</v>
      </c>
      <c r="E64" s="111">
        <v>2.7620877927227543</v>
      </c>
      <c r="F64" s="110">
        <v>45.701000000000001</v>
      </c>
      <c r="G64" s="110">
        <v>721.65099999999995</v>
      </c>
      <c r="H64" s="112">
        <v>2.7518345171886947</v>
      </c>
    </row>
    <row r="65" spans="2:8" ht="15" customHeight="1" x14ac:dyDescent="0.2">
      <c r="B65" s="109" t="s">
        <v>95</v>
      </c>
      <c r="C65" s="110">
        <v>65.373999999999995</v>
      </c>
      <c r="D65" s="110">
        <v>388.24700000000001</v>
      </c>
      <c r="E65" s="111">
        <v>4.5510821795149319</v>
      </c>
      <c r="F65" s="110">
        <v>64.02</v>
      </c>
      <c r="G65" s="110">
        <v>375.375</v>
      </c>
      <c r="H65" s="112">
        <v>4.5256476589905965</v>
      </c>
    </row>
    <row r="66" spans="2:8" ht="15" customHeight="1" x14ac:dyDescent="0.2">
      <c r="B66" s="109" t="s">
        <v>96</v>
      </c>
      <c r="C66" s="110">
        <v>3.855</v>
      </c>
      <c r="D66" s="110">
        <v>368.34199999999998</v>
      </c>
      <c r="E66" s="111">
        <v>4.9548763792654125</v>
      </c>
      <c r="F66" s="110">
        <v>4.1619999999999999</v>
      </c>
      <c r="G66" s="110">
        <v>367.20100000000002</v>
      </c>
      <c r="H66" s="112">
        <v>5.2997246391684598</v>
      </c>
    </row>
    <row r="67" spans="2:8" ht="15" customHeight="1" x14ac:dyDescent="0.2">
      <c r="B67" s="109" t="s">
        <v>97</v>
      </c>
      <c r="C67" s="110">
        <v>10.167999999999999</v>
      </c>
      <c r="D67" s="110">
        <v>654.05700000000002</v>
      </c>
      <c r="E67" s="111">
        <v>3.3202023311064361</v>
      </c>
      <c r="F67" s="110">
        <v>11.180999999999999</v>
      </c>
      <c r="G67" s="110">
        <v>621.61699999999996</v>
      </c>
      <c r="H67" s="112">
        <v>3.4313770340121259</v>
      </c>
    </row>
    <row r="68" spans="2:8" ht="15" customHeight="1" x14ac:dyDescent="0.2">
      <c r="B68" s="109" t="s">
        <v>98</v>
      </c>
      <c r="C68" s="110">
        <v>20.888000000000002</v>
      </c>
      <c r="D68" s="110">
        <v>441.91500000000002</v>
      </c>
      <c r="E68" s="111">
        <v>4.0785143631633343</v>
      </c>
      <c r="F68" s="110">
        <v>20.88</v>
      </c>
      <c r="G68" s="110">
        <v>419.072</v>
      </c>
      <c r="H68" s="112">
        <v>4.1767031689619056</v>
      </c>
    </row>
    <row r="69" spans="2:8" ht="15" customHeight="1" x14ac:dyDescent="0.2">
      <c r="B69" s="109" t="s">
        <v>248</v>
      </c>
      <c r="C69" s="110">
        <v>3.8140000000000001</v>
      </c>
      <c r="D69" s="110">
        <v>237.05</v>
      </c>
      <c r="E69" s="111">
        <v>7.4437913245461633</v>
      </c>
      <c r="F69" s="110">
        <v>3.7719999999999998</v>
      </c>
      <c r="G69" s="110">
        <v>228.46299999999999</v>
      </c>
      <c r="H69" s="112">
        <v>7.5001013977977475</v>
      </c>
    </row>
    <row r="70" spans="2:8" ht="15" customHeight="1" x14ac:dyDescent="0.2">
      <c r="B70" s="109" t="s">
        <v>100</v>
      </c>
      <c r="C70" s="110">
        <v>1.0409999999999999</v>
      </c>
      <c r="D70" s="110">
        <v>194.28700000000001</v>
      </c>
      <c r="E70" s="111">
        <v>4.3573744403380061</v>
      </c>
      <c r="F70" s="110">
        <v>0.92300000000000004</v>
      </c>
      <c r="G70" s="110">
        <v>168.50700000000001</v>
      </c>
      <c r="H70" s="112">
        <v>4.3667639671909253</v>
      </c>
    </row>
    <row r="71" spans="2:8" ht="15" customHeight="1" x14ac:dyDescent="0.2">
      <c r="B71" s="109" t="s">
        <v>101</v>
      </c>
      <c r="C71" s="110">
        <v>0.01</v>
      </c>
      <c r="D71" s="110">
        <v>244.71199999999999</v>
      </c>
      <c r="E71" s="111">
        <v>7.6750856743557119</v>
      </c>
      <c r="F71" s="110">
        <v>8.9999999999999993E-3</v>
      </c>
      <c r="G71" s="110">
        <v>246.13</v>
      </c>
      <c r="H71" s="112">
        <v>8.3720773088541289</v>
      </c>
    </row>
    <row r="72" spans="2:8" ht="15" customHeight="1" x14ac:dyDescent="0.2">
      <c r="B72" s="109" t="s">
        <v>102</v>
      </c>
      <c r="C72" s="110">
        <v>1.2829999999999999</v>
      </c>
      <c r="D72" s="110">
        <v>130.55799999999999</v>
      </c>
      <c r="E72" s="111">
        <v>7.1427273791942127</v>
      </c>
      <c r="F72" s="110">
        <v>1.2070000000000001</v>
      </c>
      <c r="G72" s="110">
        <v>114.95699999999999</v>
      </c>
      <c r="H72" s="112">
        <v>7.1114126995874543</v>
      </c>
    </row>
    <row r="73" spans="2:8" ht="15" customHeight="1" x14ac:dyDescent="0.2">
      <c r="B73" s="109" t="s">
        <v>103</v>
      </c>
      <c r="C73" s="110">
        <v>0.122</v>
      </c>
      <c r="D73" s="110">
        <v>255.262</v>
      </c>
      <c r="E73" s="111">
        <v>5.4644580482542322</v>
      </c>
      <c r="F73" s="110">
        <v>0.122</v>
      </c>
      <c r="G73" s="110">
        <v>252.45599999999999</v>
      </c>
      <c r="H73" s="112">
        <v>5.5053738457677399</v>
      </c>
    </row>
    <row r="74" spans="2:8" ht="15" customHeight="1" x14ac:dyDescent="0.2">
      <c r="B74" s="113" t="s">
        <v>104</v>
      </c>
      <c r="C74" s="114">
        <v>44.46</v>
      </c>
      <c r="D74" s="114">
        <v>748.54200000000003</v>
      </c>
      <c r="E74" s="115">
        <v>3.2179019200724412</v>
      </c>
      <c r="F74" s="114">
        <v>41.768999999999998</v>
      </c>
      <c r="G74" s="114">
        <v>727.99699999999996</v>
      </c>
      <c r="H74" s="116">
        <v>3.2735829362741469</v>
      </c>
    </row>
    <row r="77" spans="2:8" ht="15" customHeight="1" x14ac:dyDescent="0.2">
      <c r="B77" s="1145" t="s">
        <v>77</v>
      </c>
      <c r="C77" s="1141" t="s">
        <v>333</v>
      </c>
      <c r="D77" s="1141"/>
      <c r="E77" s="1141"/>
      <c r="F77" s="1141" t="s">
        <v>334</v>
      </c>
      <c r="G77" s="1141"/>
      <c r="H77" s="1133"/>
    </row>
    <row r="78" spans="2:8" ht="15" customHeight="1" x14ac:dyDescent="0.2">
      <c r="B78" s="1146"/>
      <c r="C78" s="325" t="s">
        <v>78</v>
      </c>
      <c r="D78" s="1137" t="s">
        <v>79</v>
      </c>
      <c r="E78" s="1137"/>
      <c r="F78" s="899" t="s">
        <v>78</v>
      </c>
      <c r="G78" s="1137" t="s">
        <v>79</v>
      </c>
      <c r="H78" s="1127"/>
    </row>
    <row r="79" spans="2:8" ht="30" customHeight="1" x14ac:dyDescent="0.2">
      <c r="B79" s="1146"/>
      <c r="C79" s="1138" t="s">
        <v>326</v>
      </c>
      <c r="D79" s="1138"/>
      <c r="E79" s="16" t="s">
        <v>82</v>
      </c>
      <c r="F79" s="1138" t="s">
        <v>326</v>
      </c>
      <c r="G79" s="1138"/>
      <c r="H79" s="17" t="s">
        <v>82</v>
      </c>
    </row>
    <row r="80" spans="2:8" ht="15" customHeight="1" x14ac:dyDescent="0.2">
      <c r="B80" s="144" t="str">
        <f>Index!$B$4</f>
        <v>England</v>
      </c>
      <c r="C80" s="105"/>
      <c r="D80" s="105"/>
      <c r="E80" s="106"/>
      <c r="F80" s="105"/>
      <c r="G80" s="105"/>
      <c r="H80" s="106"/>
    </row>
    <row r="81" spans="2:8" ht="15" customHeight="1" x14ac:dyDescent="0.2">
      <c r="B81" s="107" t="s">
        <v>105</v>
      </c>
      <c r="C81" s="108">
        <v>190.93600000000001</v>
      </c>
      <c r="D81" s="108">
        <v>4012.8449999999998</v>
      </c>
      <c r="E81" s="119">
        <v>1.2089835441291628</v>
      </c>
      <c r="F81" s="108">
        <v>190.178</v>
      </c>
      <c r="G81" s="108">
        <v>3736.9560000000001</v>
      </c>
      <c r="H81" s="120">
        <v>1.2354740007759426</v>
      </c>
    </row>
    <row r="82" spans="2:8" ht="15" customHeight="1" x14ac:dyDescent="0.2">
      <c r="B82" s="109" t="s">
        <v>94</v>
      </c>
      <c r="C82" s="110">
        <v>47.231999999999999</v>
      </c>
      <c r="D82" s="110">
        <v>705.12599999999998</v>
      </c>
      <c r="E82" s="111">
        <v>2.717747679738522</v>
      </c>
      <c r="F82" s="110">
        <v>48.496000000000002</v>
      </c>
      <c r="G82" s="110">
        <v>685.26099999999997</v>
      </c>
      <c r="H82" s="112">
        <v>2.7419769842197241</v>
      </c>
    </row>
    <row r="83" spans="2:8" ht="15" customHeight="1" x14ac:dyDescent="0.2">
      <c r="B83" s="109" t="s">
        <v>95</v>
      </c>
      <c r="C83" s="110">
        <v>62.860999999999997</v>
      </c>
      <c r="D83" s="110">
        <v>358.899</v>
      </c>
      <c r="E83" s="111">
        <v>4.5451767716023346</v>
      </c>
      <c r="F83" s="110">
        <v>63.777999999999999</v>
      </c>
      <c r="G83" s="110">
        <v>347.54300000000001</v>
      </c>
      <c r="H83" s="112">
        <v>4.4699842056986787</v>
      </c>
    </row>
    <row r="84" spans="2:8" ht="15" customHeight="1" x14ac:dyDescent="0.2">
      <c r="B84" s="109" t="s">
        <v>96</v>
      </c>
      <c r="C84" s="110">
        <v>4.2960000000000003</v>
      </c>
      <c r="D84" s="110">
        <v>350.11500000000001</v>
      </c>
      <c r="E84" s="111">
        <v>5.5904895024624093</v>
      </c>
      <c r="F84" s="110">
        <v>4.383</v>
      </c>
      <c r="G84" s="110">
        <v>320.435</v>
      </c>
      <c r="H84" s="112">
        <v>5.7695742157777845</v>
      </c>
    </row>
    <row r="85" spans="2:8" ht="15" customHeight="1" x14ac:dyDescent="0.2">
      <c r="B85" s="109" t="s">
        <v>97</v>
      </c>
      <c r="C85" s="110">
        <v>11.512</v>
      </c>
      <c r="D85" s="110">
        <v>564.98599999999999</v>
      </c>
      <c r="E85" s="111">
        <v>3.5783216727564517</v>
      </c>
      <c r="F85" s="110">
        <v>11.548</v>
      </c>
      <c r="G85" s="110">
        <v>503.32100000000003</v>
      </c>
      <c r="H85" s="112">
        <v>3.7030601146404978</v>
      </c>
    </row>
    <row r="86" spans="2:8" ht="15" customHeight="1" x14ac:dyDescent="0.2">
      <c r="B86" s="109" t="s">
        <v>98</v>
      </c>
      <c r="C86" s="110">
        <v>20.736000000000001</v>
      </c>
      <c r="D86" s="110">
        <v>388.14100000000002</v>
      </c>
      <c r="E86" s="111">
        <v>4.2972356954638995</v>
      </c>
      <c r="F86" s="110">
        <v>20.712</v>
      </c>
      <c r="G86" s="110">
        <v>352.51799999999997</v>
      </c>
      <c r="H86" s="112">
        <v>4.3925945430143187</v>
      </c>
    </row>
    <row r="87" spans="2:8" ht="15" customHeight="1" x14ac:dyDescent="0.2">
      <c r="B87" s="109" t="s">
        <v>248</v>
      </c>
      <c r="C87" s="110">
        <v>3.7519999999999998</v>
      </c>
      <c r="D87" s="110">
        <v>219.37</v>
      </c>
      <c r="E87" s="111">
        <v>7.5425697287001086</v>
      </c>
      <c r="F87" s="110">
        <v>3.76</v>
      </c>
      <c r="G87" s="110">
        <v>205.52199999999999</v>
      </c>
      <c r="H87" s="112">
        <v>7.5412765908170547</v>
      </c>
    </row>
    <row r="88" spans="2:8" ht="15" customHeight="1" x14ac:dyDescent="0.2">
      <c r="B88" s="109" t="s">
        <v>100</v>
      </c>
      <c r="C88" s="110">
        <v>0.80200000000000005</v>
      </c>
      <c r="D88" s="110">
        <v>145.54400000000001</v>
      </c>
      <c r="E88" s="111">
        <v>4.5371822079930073</v>
      </c>
      <c r="F88" s="110">
        <v>0.73</v>
      </c>
      <c r="G88" s="110">
        <v>125.21</v>
      </c>
      <c r="H88" s="112">
        <v>4.820608716218282</v>
      </c>
    </row>
    <row r="89" spans="2:8" ht="15" customHeight="1" x14ac:dyDescent="0.2">
      <c r="B89" s="109" t="s">
        <v>101</v>
      </c>
      <c r="C89" s="110">
        <v>8.9999999999999993E-3</v>
      </c>
      <c r="D89" s="110">
        <v>240.18700000000001</v>
      </c>
      <c r="E89" s="111">
        <v>8.8077178385976129</v>
      </c>
      <c r="F89" s="110">
        <v>8.9999999999999993E-3</v>
      </c>
      <c r="G89" s="110">
        <v>230.79900000000001</v>
      </c>
      <c r="H89" s="112">
        <v>8.8099485657288135</v>
      </c>
    </row>
    <row r="90" spans="2:8" ht="15" customHeight="1" x14ac:dyDescent="0.2">
      <c r="B90" s="109" t="s">
        <v>102</v>
      </c>
      <c r="C90" s="110">
        <v>1.1100000000000001</v>
      </c>
      <c r="D90" s="110">
        <v>102.21299999999999</v>
      </c>
      <c r="E90" s="111">
        <v>7.1992720604723353</v>
      </c>
      <c r="F90" s="110">
        <v>1.044</v>
      </c>
      <c r="G90" s="110">
        <v>88.34</v>
      </c>
      <c r="H90" s="112">
        <v>7.2300620083578524</v>
      </c>
    </row>
    <row r="91" spans="2:8" ht="15" customHeight="1" x14ac:dyDescent="0.2">
      <c r="B91" s="109" t="s">
        <v>103</v>
      </c>
      <c r="C91" s="110">
        <v>0.12</v>
      </c>
      <c r="D91" s="110">
        <v>244.596</v>
      </c>
      <c r="E91" s="111">
        <v>5.5535576096851322</v>
      </c>
      <c r="F91" s="110">
        <v>0.112</v>
      </c>
      <c r="G91" s="110">
        <v>232.321</v>
      </c>
      <c r="H91" s="112">
        <v>5.5875611543504409</v>
      </c>
    </row>
    <row r="92" spans="2:8" ht="15" customHeight="1" x14ac:dyDescent="0.2">
      <c r="B92" s="113" t="s">
        <v>104</v>
      </c>
      <c r="C92" s="114">
        <v>38.508000000000003</v>
      </c>
      <c r="D92" s="114">
        <v>689.197</v>
      </c>
      <c r="E92" s="115">
        <v>3.3036355410799141</v>
      </c>
      <c r="F92" s="114">
        <v>35.603000000000002</v>
      </c>
      <c r="G92" s="114">
        <v>642.42999999999995</v>
      </c>
      <c r="H92" s="116">
        <v>3.355226188065084</v>
      </c>
    </row>
    <row r="95" spans="2:8" ht="15" customHeight="1" x14ac:dyDescent="0.2">
      <c r="B95" s="1145" t="s">
        <v>77</v>
      </c>
      <c r="C95" s="1141" t="s">
        <v>231</v>
      </c>
      <c r="D95" s="1141"/>
      <c r="E95" s="1141"/>
      <c r="F95" s="1141" t="s">
        <v>232</v>
      </c>
      <c r="G95" s="1141"/>
      <c r="H95" s="1133"/>
    </row>
    <row r="96" spans="2:8" ht="15" customHeight="1" x14ac:dyDescent="0.2">
      <c r="B96" s="1146"/>
      <c r="C96" s="325" t="s">
        <v>78</v>
      </c>
      <c r="D96" s="1137" t="s">
        <v>79</v>
      </c>
      <c r="E96" s="1137"/>
      <c r="F96" s="899" t="s">
        <v>78</v>
      </c>
      <c r="G96" s="1137" t="s">
        <v>79</v>
      </c>
      <c r="H96" s="1127"/>
    </row>
    <row r="97" spans="2:8" ht="30" customHeight="1" x14ac:dyDescent="0.2">
      <c r="B97" s="1146"/>
      <c r="C97" s="1138" t="s">
        <v>326</v>
      </c>
      <c r="D97" s="1138"/>
      <c r="E97" s="16" t="s">
        <v>82</v>
      </c>
      <c r="F97" s="1138" t="s">
        <v>326</v>
      </c>
      <c r="G97" s="1138"/>
      <c r="H97" s="17" t="s">
        <v>82</v>
      </c>
    </row>
    <row r="98" spans="2:8" ht="15" customHeight="1" x14ac:dyDescent="0.2">
      <c r="B98" s="144" t="str">
        <f>Index!$B$4</f>
        <v>England</v>
      </c>
      <c r="C98" s="105"/>
      <c r="D98" s="105"/>
      <c r="E98" s="106"/>
      <c r="F98" s="105"/>
      <c r="G98" s="105"/>
      <c r="H98" s="106"/>
    </row>
    <row r="99" spans="2:8" ht="15" customHeight="1" x14ac:dyDescent="0.2">
      <c r="B99" s="107" t="s">
        <v>105</v>
      </c>
      <c r="C99" s="108">
        <v>189.08099999999999</v>
      </c>
      <c r="D99" s="108">
        <v>3447.0770000000002</v>
      </c>
      <c r="E99" s="119">
        <v>1.2815196217199669</v>
      </c>
      <c r="F99" s="108">
        <v>188.62799999999999</v>
      </c>
      <c r="G99" s="108">
        <v>3139.5430000000001</v>
      </c>
      <c r="H99" s="120">
        <v>1.2847787160037392</v>
      </c>
    </row>
    <row r="100" spans="2:8" ht="15" customHeight="1" x14ac:dyDescent="0.2">
      <c r="B100" s="109" t="s">
        <v>94</v>
      </c>
      <c r="C100" s="110">
        <v>50.334000000000003</v>
      </c>
      <c r="D100" s="110">
        <v>658.47299999999996</v>
      </c>
      <c r="E100" s="111">
        <v>2.7853714177433475</v>
      </c>
      <c r="F100" s="110">
        <v>52.78</v>
      </c>
      <c r="G100" s="110">
        <v>638.553</v>
      </c>
      <c r="H100" s="112">
        <v>2.859145522665469</v>
      </c>
    </row>
    <row r="101" spans="2:8" ht="15" customHeight="1" x14ac:dyDescent="0.2">
      <c r="B101" s="109" t="s">
        <v>95</v>
      </c>
      <c r="C101" s="110">
        <v>65.519000000000005</v>
      </c>
      <c r="D101" s="110">
        <v>337.64299999999997</v>
      </c>
      <c r="E101" s="111">
        <v>4.4090806406996119</v>
      </c>
      <c r="F101" s="110">
        <v>68.063000000000002</v>
      </c>
      <c r="G101" s="110">
        <v>326.64299999999997</v>
      </c>
      <c r="H101" s="112">
        <v>4.4282589909665759</v>
      </c>
    </row>
    <row r="102" spans="2:8" ht="15" customHeight="1" x14ac:dyDescent="0.2">
      <c r="B102" s="109" t="s">
        <v>96</v>
      </c>
      <c r="C102" s="110">
        <v>4.2009999999999996</v>
      </c>
      <c r="D102" s="110">
        <v>283.779</v>
      </c>
      <c r="E102" s="111">
        <v>5.7861451492492737</v>
      </c>
      <c r="F102" s="110">
        <v>3.8620000000000001</v>
      </c>
      <c r="G102" s="110">
        <v>232.625</v>
      </c>
      <c r="H102" s="112">
        <v>5.3441938647176057</v>
      </c>
    </row>
    <row r="103" spans="2:8" ht="15" customHeight="1" x14ac:dyDescent="0.2">
      <c r="B103" s="109" t="s">
        <v>97</v>
      </c>
      <c r="C103" s="110">
        <v>11.061999999999999</v>
      </c>
      <c r="D103" s="110">
        <v>433.07</v>
      </c>
      <c r="E103" s="111">
        <v>3.7370335012194515</v>
      </c>
      <c r="F103" s="110">
        <v>10.169</v>
      </c>
      <c r="G103" s="110">
        <v>343.08600000000001</v>
      </c>
      <c r="H103" s="112">
        <v>3.5493212023963552</v>
      </c>
    </row>
    <row r="104" spans="2:8" ht="15" customHeight="1" x14ac:dyDescent="0.2">
      <c r="B104" s="109" t="s">
        <v>98</v>
      </c>
      <c r="C104" s="110">
        <v>20.164000000000001</v>
      </c>
      <c r="D104" s="110">
        <v>314.73200000000003</v>
      </c>
      <c r="E104" s="111">
        <v>4.4137580494971234</v>
      </c>
      <c r="F104" s="110">
        <v>18.876000000000001</v>
      </c>
      <c r="G104" s="110">
        <v>280.14</v>
      </c>
      <c r="H104" s="112">
        <v>4.3393928474712054</v>
      </c>
    </row>
    <row r="105" spans="2:8" ht="15" customHeight="1" x14ac:dyDescent="0.2">
      <c r="B105" s="109" t="s">
        <v>248</v>
      </c>
      <c r="C105" s="110">
        <v>3.8149999999999999</v>
      </c>
      <c r="D105" s="110">
        <v>194.78800000000001</v>
      </c>
      <c r="E105" s="111">
        <v>7.5613020340579249</v>
      </c>
      <c r="F105" s="110">
        <v>3.8730000000000002</v>
      </c>
      <c r="G105" s="110">
        <v>181.773</v>
      </c>
      <c r="H105" s="112">
        <v>7.5885059512085373</v>
      </c>
    </row>
    <row r="106" spans="2:8" ht="15" customHeight="1" x14ac:dyDescent="0.2">
      <c r="B106" s="109" t="s">
        <v>100</v>
      </c>
      <c r="C106" s="110">
        <v>0.63900000000000001</v>
      </c>
      <c r="D106" s="110">
        <v>106.712</v>
      </c>
      <c r="E106" s="111">
        <v>4.9679103798513706</v>
      </c>
      <c r="F106" s="110">
        <v>0.57399999999999995</v>
      </c>
      <c r="G106" s="110">
        <v>95.376999999999995</v>
      </c>
      <c r="H106" s="112">
        <v>5.249287231736508</v>
      </c>
    </row>
    <row r="107" spans="2:8" ht="15" customHeight="1" x14ac:dyDescent="0.2">
      <c r="B107" s="109" t="s">
        <v>101</v>
      </c>
      <c r="C107" s="110">
        <v>8.9999999999999993E-3</v>
      </c>
      <c r="D107" s="110">
        <v>220.84100000000001</v>
      </c>
      <c r="E107" s="111">
        <v>9.0907667497283473</v>
      </c>
      <c r="F107" s="110">
        <v>7.0000000000000001E-3</v>
      </c>
      <c r="G107" s="110">
        <v>210.40899999999999</v>
      </c>
      <c r="H107" s="112">
        <v>9.2851364447286624</v>
      </c>
    </row>
    <row r="108" spans="2:8" ht="15" customHeight="1" x14ac:dyDescent="0.2">
      <c r="B108" s="109" t="s">
        <v>102</v>
      </c>
      <c r="C108" s="110">
        <v>0.98399999999999999</v>
      </c>
      <c r="D108" s="110">
        <v>76.968999999999994</v>
      </c>
      <c r="E108" s="111">
        <v>7.2689125441482956</v>
      </c>
      <c r="F108" s="110">
        <v>0.998</v>
      </c>
      <c r="G108" s="110">
        <v>65.753</v>
      </c>
      <c r="H108" s="112">
        <v>6.8905094335077042</v>
      </c>
    </row>
    <row r="109" spans="2:8" ht="15" customHeight="1" x14ac:dyDescent="0.2">
      <c r="B109" s="109" t="s">
        <v>103</v>
      </c>
      <c r="C109" s="110">
        <v>0.104</v>
      </c>
      <c r="D109" s="110">
        <v>218.816</v>
      </c>
      <c r="E109" s="111">
        <v>5.6067100050245493</v>
      </c>
      <c r="F109" s="110">
        <v>0.107</v>
      </c>
      <c r="G109" s="110">
        <v>204.76300000000001</v>
      </c>
      <c r="H109" s="112">
        <v>5.6165038582621634</v>
      </c>
    </row>
    <row r="110" spans="2:8" ht="15" customHeight="1" x14ac:dyDescent="0.2">
      <c r="B110" s="113" t="s">
        <v>104</v>
      </c>
      <c r="C110" s="114">
        <v>32.246000000000002</v>
      </c>
      <c r="D110" s="114">
        <v>598.36199999999997</v>
      </c>
      <c r="E110" s="115">
        <v>3.462418913066855</v>
      </c>
      <c r="F110" s="114">
        <v>29.321000000000002</v>
      </c>
      <c r="G110" s="114">
        <v>556.15599999999995</v>
      </c>
      <c r="H110" s="116">
        <v>3.4872188366557197</v>
      </c>
    </row>
    <row r="113" spans="2:5" ht="15" customHeight="1" x14ac:dyDescent="0.2">
      <c r="B113" s="1145" t="s">
        <v>77</v>
      </c>
      <c r="C113" s="1141" t="s">
        <v>233</v>
      </c>
      <c r="D113" s="1141"/>
      <c r="E113" s="1133"/>
    </row>
    <row r="114" spans="2:5" ht="15" customHeight="1" x14ac:dyDescent="0.2">
      <c r="B114" s="1146"/>
      <c r="C114" s="325" t="s">
        <v>78</v>
      </c>
      <c r="D114" s="1137" t="s">
        <v>79</v>
      </c>
      <c r="E114" s="1127"/>
    </row>
    <row r="115" spans="2:5" ht="30" customHeight="1" x14ac:dyDescent="0.2">
      <c r="B115" s="1146"/>
      <c r="C115" s="1138" t="s">
        <v>326</v>
      </c>
      <c r="D115" s="1138"/>
      <c r="E115" s="17" t="s">
        <v>82</v>
      </c>
    </row>
    <row r="116" spans="2:5" ht="15" customHeight="1" x14ac:dyDescent="0.2">
      <c r="B116" s="144" t="str">
        <f>Index!$B$4</f>
        <v>England</v>
      </c>
      <c r="C116" s="105"/>
      <c r="D116" s="105"/>
      <c r="E116" s="106"/>
    </row>
    <row r="117" spans="2:5" ht="15" customHeight="1" x14ac:dyDescent="0.2">
      <c r="B117" s="107" t="s">
        <v>105</v>
      </c>
      <c r="C117" s="108">
        <v>187.834</v>
      </c>
      <c r="D117" s="108">
        <v>2895.221</v>
      </c>
      <c r="E117" s="120">
        <v>1.2884959959166495</v>
      </c>
    </row>
    <row r="118" spans="2:5" ht="15" customHeight="1" x14ac:dyDescent="0.2">
      <c r="B118" s="109" t="s">
        <v>94</v>
      </c>
      <c r="C118" s="110">
        <v>54.027000000000001</v>
      </c>
      <c r="D118" s="110">
        <v>621.18299999999999</v>
      </c>
      <c r="E118" s="112">
        <v>2.9210075869786323</v>
      </c>
    </row>
    <row r="119" spans="2:5" ht="15" customHeight="1" x14ac:dyDescent="0.2">
      <c r="B119" s="109" t="s">
        <v>95</v>
      </c>
      <c r="C119" s="110">
        <v>71.188999999999993</v>
      </c>
      <c r="D119" s="110">
        <v>325.50200000000001</v>
      </c>
      <c r="E119" s="112">
        <v>4.4467967530240253</v>
      </c>
    </row>
    <row r="120" spans="2:5" ht="15" customHeight="1" x14ac:dyDescent="0.2">
      <c r="B120" s="109" t="s">
        <v>96</v>
      </c>
      <c r="C120" s="110">
        <v>3.556</v>
      </c>
      <c r="D120" s="110">
        <v>191.08</v>
      </c>
      <c r="E120" s="112">
        <v>4.8884925707685287</v>
      </c>
    </row>
    <row r="121" spans="2:5" ht="15" customHeight="1" x14ac:dyDescent="0.2">
      <c r="B121" s="109" t="s">
        <v>97</v>
      </c>
      <c r="C121" s="110">
        <v>9.1609999999999996</v>
      </c>
      <c r="D121" s="110">
        <v>281.863</v>
      </c>
      <c r="E121" s="112">
        <v>3.3671212100929115</v>
      </c>
    </row>
    <row r="122" spans="2:5" ht="15" customHeight="1" x14ac:dyDescent="0.2">
      <c r="B122" s="109" t="s">
        <v>98</v>
      </c>
      <c r="C122" s="110">
        <v>17.545999999999999</v>
      </c>
      <c r="D122" s="110">
        <v>243.55699999999999</v>
      </c>
      <c r="E122" s="112">
        <v>3.6931267872301015</v>
      </c>
    </row>
    <row r="123" spans="2:5" ht="15" customHeight="1" x14ac:dyDescent="0.2">
      <c r="B123" s="109" t="s">
        <v>248</v>
      </c>
      <c r="C123" s="110">
        <v>3.9630000000000001</v>
      </c>
      <c r="D123" s="110">
        <v>173.25700000000001</v>
      </c>
      <c r="E123" s="112">
        <v>7.5882898368867746</v>
      </c>
    </row>
    <row r="124" spans="2:5" ht="15" customHeight="1" x14ac:dyDescent="0.2">
      <c r="B124" s="109" t="s">
        <v>100</v>
      </c>
      <c r="C124" s="110">
        <v>0.53500000000000003</v>
      </c>
      <c r="D124" s="110">
        <v>88.582999999999998</v>
      </c>
      <c r="E124" s="112">
        <v>5.3092895355256369</v>
      </c>
    </row>
    <row r="125" spans="2:5" ht="15" customHeight="1" x14ac:dyDescent="0.2">
      <c r="B125" s="109" t="s">
        <v>101</v>
      </c>
      <c r="C125" s="110">
        <v>7.0000000000000001E-3</v>
      </c>
      <c r="D125" s="110">
        <v>198.53800000000001</v>
      </c>
      <c r="E125" s="112">
        <v>9.4748091104330587</v>
      </c>
    </row>
    <row r="126" spans="2:5" ht="15" customHeight="1" x14ac:dyDescent="0.2">
      <c r="B126" s="109" t="s">
        <v>102</v>
      </c>
      <c r="C126" s="110">
        <v>0.98</v>
      </c>
      <c r="D126" s="110">
        <v>58.192999999999998</v>
      </c>
      <c r="E126" s="112">
        <v>6.8361690202732754</v>
      </c>
    </row>
    <row r="127" spans="2:5" ht="15" customHeight="1" x14ac:dyDescent="0.2">
      <c r="B127" s="109" t="s">
        <v>103</v>
      </c>
      <c r="C127" s="110">
        <v>0.112</v>
      </c>
      <c r="D127" s="110">
        <v>188.953</v>
      </c>
      <c r="E127" s="112">
        <v>5.6167185748910118</v>
      </c>
    </row>
    <row r="128" spans="2:5" ht="15" customHeight="1" x14ac:dyDescent="0.2">
      <c r="B128" s="113" t="s">
        <v>104</v>
      </c>
      <c r="C128" s="114">
        <v>26.753</v>
      </c>
      <c r="D128" s="114">
        <v>520.09400000000005</v>
      </c>
      <c r="E128" s="116">
        <v>3.461891884825127</v>
      </c>
    </row>
  </sheetData>
  <mergeCells count="73">
    <mergeCell ref="B5:B7"/>
    <mergeCell ref="C5:E5"/>
    <mergeCell ref="F5:H5"/>
    <mergeCell ref="I5:K5"/>
    <mergeCell ref="L5:N5"/>
    <mergeCell ref="C7:D7"/>
    <mergeCell ref="F7:G7"/>
    <mergeCell ref="I7:J7"/>
    <mergeCell ref="L7:M7"/>
    <mergeCell ref="D6:E6"/>
    <mergeCell ref="G6:H6"/>
    <mergeCell ref="J6:K6"/>
    <mergeCell ref="M6:N6"/>
    <mergeCell ref="O5:Q5"/>
    <mergeCell ref="R5:T5"/>
    <mergeCell ref="U5:W5"/>
    <mergeCell ref="X5:Z5"/>
    <mergeCell ref="O7:P7"/>
    <mergeCell ref="R7:S7"/>
    <mergeCell ref="S6:T6"/>
    <mergeCell ref="P6:Q6"/>
    <mergeCell ref="U7:V7"/>
    <mergeCell ref="X7:Y7"/>
    <mergeCell ref="AG5:AI5"/>
    <mergeCell ref="AH6:AI6"/>
    <mergeCell ref="AG7:AH7"/>
    <mergeCell ref="Y6:Z6"/>
    <mergeCell ref="V6:W6"/>
    <mergeCell ref="AD5:AF5"/>
    <mergeCell ref="AE6:AF6"/>
    <mergeCell ref="AA5:AC5"/>
    <mergeCell ref="AB6:AC6"/>
    <mergeCell ref="AA7:AB7"/>
    <mergeCell ref="AD7:AE7"/>
    <mergeCell ref="D24:E24"/>
    <mergeCell ref="G24:H24"/>
    <mergeCell ref="B23:B25"/>
    <mergeCell ref="C23:E23"/>
    <mergeCell ref="F23:H23"/>
    <mergeCell ref="C25:D25"/>
    <mergeCell ref="F25:G25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G78:H78"/>
    <mergeCell ref="F79:G79"/>
    <mergeCell ref="C79:D79"/>
    <mergeCell ref="D78:E78"/>
    <mergeCell ref="B77:B79"/>
    <mergeCell ref="F77:H77"/>
    <mergeCell ref="C77:E77"/>
    <mergeCell ref="F95:H95"/>
    <mergeCell ref="G96:H96"/>
    <mergeCell ref="D96:E96"/>
    <mergeCell ref="C95:E95"/>
    <mergeCell ref="B95:B97"/>
    <mergeCell ref="D114:E114"/>
    <mergeCell ref="C115:D115"/>
    <mergeCell ref="F97:G97"/>
    <mergeCell ref="B113:B115"/>
    <mergeCell ref="C113:E113"/>
    <mergeCell ref="C97:D9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between" id="{9C312F1E-979D-47BB-91E9-4BC3FB8F448F}">
            <xm:f>Sheet1!$D$4</xm:f>
            <xm:f>Sheet1!$E$4</xm:f>
            <x14:dxf>
              <numFmt numFmtId="173" formatCode="&quot;&lt; 1&quot;"/>
            </x14:dxf>
          </x14:cfRule>
          <xm:sqref>A1:XFD8 A21:XFD26 A9:B20 AJ9:XFD20 A39:XFD44 A27:B38 I27:XFD38 A75:XFD80 A63:B74 I63:XFD74 A93:XFD98 A81:B92 I81:XFD92 A111:XFD116 A99:B110 I99:XFD110 A129:XFD1048576 A117:B128 F117:XFD128 A57:XFD62 A45:B56 I45:XFD56</xm:sqref>
        </x14:conditionalFormatting>
        <x14:conditionalFormatting xmlns:xm="http://schemas.microsoft.com/office/excel/2006/main">
          <x14:cfRule type="expression" priority="68" id="{926298AA-D893-41B5-8D63-B4D9DEEDE701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3" operator="between" id="{A180EE68-DD7E-46FA-9488-29A92DF42E06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2" id="{FA5D6E6F-04F8-4F71-BAE8-1D8C018A334E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1" operator="between" id="{63B3266A-0A7E-4D66-AD67-58644EEE3424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0" id="{6C6A3D2E-0D91-4883-A903-8292889E5550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39" operator="between" id="{DA17C51E-8773-4EDF-A832-6DF769E6B68A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38" id="{A98F00AB-EF56-459B-BB2D-9505D7D070BD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37" operator="between" id="{A5E185DA-C3FF-46BA-AC3B-8C002AA4B602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36" id="{518AF84B-5388-4DBA-8B67-56519F529017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35" operator="between" id="{72DC22FE-C340-4AAB-96E0-2A23EBDFF8AA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34" id="{3A5FB935-943C-45EF-8815-4ADE5382B6A8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33" operator="between" id="{1638B6CF-9C87-4BBF-8F17-FF3EE10F0CAC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32" id="{F4F76563-AF8B-4558-BFD4-5F04BAD69FD2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31" operator="between" id="{46C5D485-DBAB-4B4B-8B1A-12341F8A917F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30" id="{16C8103A-47B7-4A44-B57E-6283AB1EAC9E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29" operator="between" id="{AA7FB73B-F562-4A8D-B7AD-4DCC7DAC4FB3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expression" priority="28" id="{AE9AAC1E-1ACF-4EC2-914B-0782B7586043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cellIs" priority="27" operator="between" id="{AB964D96-9CAF-49B0-B873-58DA186B9475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26" id="{888BEC75-F8BE-4469-8AFC-141E46BD5029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25" operator="between" id="{09AB2906-CC45-42FE-BC6D-F56EE45F9C16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24" id="{B1534DF9-2452-4CCC-B71D-2081551EEB5C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23" operator="between" id="{56EB6E7C-DF23-4731-B419-212180ECA0BE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22" id="{7CF6B4B5-C7FF-4918-9418-0781F0EADB0B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cellIs" priority="21" operator="between" id="{837342A0-FDAF-444A-A30D-010F229A43C5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expression" priority="20" id="{B552A740-415D-49D9-91FD-0DA3999EE2E9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9" operator="between" id="{BA552E32-22B8-4EDE-8B76-8987549904A1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  <x14:conditionalFormatting xmlns:xm="http://schemas.microsoft.com/office/excel/2006/main">
          <x14:cfRule type="expression" priority="18" id="{91A6CF00-3569-4CAD-98ED-D6176F0A9B9A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17" operator="between" id="{AD4A5E07-1A60-41F4-AA3D-34878864BFC6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16" id="{B5A6B788-1820-449B-B9A0-DC7D8B6E0ECC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cellIs" priority="15" operator="between" id="{377174DB-D80D-40CF-B8B8-F856D2B70EA8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14" id="{1C48200F-C45D-40C7-B973-55835617AEE9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13" operator="between" id="{CAA90295-6E99-45F6-B82F-26E83A120249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12" id="{4E228D56-77E6-4F73-AE7A-C79AF1ABB87B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11" operator="between" id="{D11A9F8C-BA8C-4FE1-A1F6-B506A41F3913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10" id="{197F6C5A-09E5-4D12-8EF4-8E34461DF429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9" operator="between" id="{F84EAC31-F770-4D69-9825-26E1FD967B14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8" id="{D645236D-1FF5-4B2A-B9C5-70B49D91C1CB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7" operator="between" id="{29985F9A-D597-4A76-A1A7-B91414822DBC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6" id="{C6A6D0DB-9727-47F1-B6FF-D809CCB87F79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cellIs" priority="5" operator="between" id="{46FAB064-448D-4B5D-BBFA-5C345C490CA9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expression" priority="4" id="{201E86E3-1DB4-4536-919D-E5C21F86E432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3" operator="between" id="{EDB48FA9-7489-4581-97FE-4A7A448CA722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" id="{0DFF1B0E-804B-49D3-8C86-A3954902FA7E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1" operator="between" id="{F438F65F-C278-4BEE-9360-D36AE7DE956C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AI142"/>
  <sheetViews>
    <sheetView zoomScaleNormal="100"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426</v>
      </c>
      <c r="C3" t="s">
        <v>886</v>
      </c>
    </row>
    <row r="5" spans="2:35" ht="15" customHeight="1" x14ac:dyDescent="0.2">
      <c r="B5" s="1109" t="s">
        <v>380</v>
      </c>
      <c r="C5" s="1089" t="s">
        <v>332</v>
      </c>
      <c r="D5" s="1089"/>
      <c r="E5" s="1089"/>
      <c r="F5" s="1089" t="s">
        <v>222</v>
      </c>
      <c r="G5" s="1089"/>
      <c r="H5" s="1089"/>
      <c r="I5" s="1018" t="s">
        <v>225</v>
      </c>
      <c r="J5" s="1019"/>
      <c r="K5" s="1021"/>
      <c r="L5" s="1018" t="s">
        <v>226</v>
      </c>
      <c r="M5" s="1019"/>
      <c r="N5" s="1021"/>
      <c r="O5" s="1018" t="s">
        <v>227</v>
      </c>
      <c r="P5" s="1019"/>
      <c r="Q5" s="1021"/>
      <c r="R5" s="1018" t="s">
        <v>228</v>
      </c>
      <c r="S5" s="1019"/>
      <c r="T5" s="1021"/>
      <c r="U5" s="1018" t="s">
        <v>333</v>
      </c>
      <c r="V5" s="1019"/>
      <c r="W5" s="1021"/>
      <c r="X5" s="1018" t="s">
        <v>334</v>
      </c>
      <c r="Y5" s="1019"/>
      <c r="Z5" s="1021"/>
      <c r="AA5" s="1018" t="s">
        <v>231</v>
      </c>
      <c r="AB5" s="1019"/>
      <c r="AC5" s="1021"/>
      <c r="AD5" s="1018" t="s">
        <v>232</v>
      </c>
      <c r="AE5" s="1019"/>
      <c r="AF5" s="1021"/>
      <c r="AG5" s="1018" t="s">
        <v>233</v>
      </c>
      <c r="AH5" s="1019"/>
      <c r="AI5" s="1019"/>
    </row>
    <row r="6" spans="2:35" ht="15" customHeight="1" x14ac:dyDescent="0.2">
      <c r="B6" s="1110"/>
      <c r="C6" s="732" t="s">
        <v>78</v>
      </c>
      <c r="D6" s="1091" t="s">
        <v>79</v>
      </c>
      <c r="E6" s="1091"/>
      <c r="F6" s="732" t="s">
        <v>78</v>
      </c>
      <c r="G6" s="1091" t="s">
        <v>79</v>
      </c>
      <c r="H6" s="1091"/>
      <c r="I6" s="732" t="s">
        <v>78</v>
      </c>
      <c r="J6" s="1013" t="s">
        <v>79</v>
      </c>
      <c r="K6" s="1020"/>
      <c r="L6" s="732" t="s">
        <v>78</v>
      </c>
      <c r="M6" s="1013" t="s">
        <v>79</v>
      </c>
      <c r="N6" s="1020"/>
      <c r="O6" s="732" t="s">
        <v>78</v>
      </c>
      <c r="P6" s="1013" t="s">
        <v>79</v>
      </c>
      <c r="Q6" s="1020"/>
      <c r="R6" s="732" t="s">
        <v>78</v>
      </c>
      <c r="S6" s="1013" t="s">
        <v>79</v>
      </c>
      <c r="T6" s="1020"/>
      <c r="U6" s="732" t="s">
        <v>78</v>
      </c>
      <c r="V6" s="1013" t="s">
        <v>79</v>
      </c>
      <c r="W6" s="1020"/>
      <c r="X6" s="732" t="s">
        <v>78</v>
      </c>
      <c r="Y6" s="1013" t="s">
        <v>79</v>
      </c>
      <c r="Z6" s="1020"/>
      <c r="AA6" s="732" t="s">
        <v>78</v>
      </c>
      <c r="AB6" s="1013" t="s">
        <v>79</v>
      </c>
      <c r="AC6" s="1020"/>
      <c r="AD6" s="732" t="s">
        <v>78</v>
      </c>
      <c r="AE6" s="1013" t="s">
        <v>79</v>
      </c>
      <c r="AF6" s="1020"/>
      <c r="AG6" s="732" t="s">
        <v>78</v>
      </c>
      <c r="AH6" s="1013" t="s">
        <v>79</v>
      </c>
      <c r="AI6" s="1014"/>
    </row>
    <row r="7" spans="2:35" ht="30" customHeight="1" x14ac:dyDescent="0.2">
      <c r="B7" s="1110"/>
      <c r="C7" s="1090" t="s">
        <v>326</v>
      </c>
      <c r="D7" s="1090"/>
      <c r="E7" s="130" t="s">
        <v>82</v>
      </c>
      <c r="F7" s="1090" t="s">
        <v>326</v>
      </c>
      <c r="G7" s="1090"/>
      <c r="H7" s="130" t="s">
        <v>82</v>
      </c>
      <c r="I7" s="1111" t="s">
        <v>326</v>
      </c>
      <c r="J7" s="1112"/>
      <c r="K7" s="130" t="s">
        <v>82</v>
      </c>
      <c r="L7" s="1111" t="s">
        <v>326</v>
      </c>
      <c r="M7" s="1112"/>
      <c r="N7" s="130" t="s">
        <v>82</v>
      </c>
      <c r="O7" s="1111" t="s">
        <v>326</v>
      </c>
      <c r="P7" s="1112"/>
      <c r="Q7" s="130" t="s">
        <v>82</v>
      </c>
      <c r="R7" s="1111" t="s">
        <v>326</v>
      </c>
      <c r="S7" s="1112"/>
      <c r="T7" s="130" t="s">
        <v>82</v>
      </c>
      <c r="U7" s="1111" t="s">
        <v>326</v>
      </c>
      <c r="V7" s="1112"/>
      <c r="W7" s="130" t="s">
        <v>82</v>
      </c>
      <c r="X7" s="1111" t="s">
        <v>326</v>
      </c>
      <c r="Y7" s="1112"/>
      <c r="Z7" s="130" t="s">
        <v>82</v>
      </c>
      <c r="AA7" s="1111" t="s">
        <v>326</v>
      </c>
      <c r="AB7" s="1112"/>
      <c r="AC7" s="130" t="s">
        <v>82</v>
      </c>
      <c r="AD7" s="1111" t="s">
        <v>326</v>
      </c>
      <c r="AE7" s="1112"/>
      <c r="AF7" s="130" t="s">
        <v>82</v>
      </c>
      <c r="AG7" s="1111" t="s">
        <v>326</v>
      </c>
      <c r="AH7" s="1112"/>
      <c r="AI7" s="131" t="s">
        <v>82</v>
      </c>
    </row>
    <row r="8" spans="2:35" ht="15" customHeight="1" x14ac:dyDescent="0.2">
      <c r="B8" s="759" t="str">
        <f>Index!$B$4</f>
        <v>England</v>
      </c>
      <c r="C8" s="760">
        <f>'Section 11 data country'!$C$6</f>
        <v>71.779000000000011</v>
      </c>
      <c r="D8" s="760">
        <f>'Section 11 data country'!$C$26</f>
        <v>2957.9369999999999</v>
      </c>
      <c r="E8" s="761">
        <f>'Section 11 data country'!$D$26</f>
        <v>4.9175326735365372</v>
      </c>
      <c r="F8" s="760">
        <f>'Section 11 data country'!$F$6</f>
        <v>74.778000000000006</v>
      </c>
      <c r="G8" s="760">
        <f>'Section 11 data country'!$E$26</f>
        <v>3264.904</v>
      </c>
      <c r="H8" s="761">
        <f>'Section 11 data country'!$F$26</f>
        <v>4.7723267050589984</v>
      </c>
      <c r="I8" s="760">
        <f>'Section 11 data country'!$E$6</f>
        <v>78.750999999999991</v>
      </c>
      <c r="J8" s="760">
        <f>'Section 11 data country'!$G$26</f>
        <v>2956.4490000000001</v>
      </c>
      <c r="K8" s="761">
        <f>'Section 11 data country'!$H$26</f>
        <v>5.0877422572868625</v>
      </c>
      <c r="L8" s="760">
        <f>'Section 11 data country'!$F$6</f>
        <v>74.778000000000006</v>
      </c>
      <c r="M8" s="760">
        <f>'Section 11 data country'!$I$26</f>
        <v>3052.6990000000001</v>
      </c>
      <c r="N8" s="761">
        <f>'Section 11 data country'!$J$26</f>
        <v>5.1812754658331821</v>
      </c>
      <c r="O8" s="760">
        <f>'Section 11 data country'!$G$6</f>
        <v>89.126000000000005</v>
      </c>
      <c r="P8" s="760">
        <f>'Section 11 data country'!$K$26</f>
        <v>2910.4050000000002</v>
      </c>
      <c r="Q8" s="761">
        <f>'Section 11 data country'!$L$26</f>
        <v>5.8810833804531484</v>
      </c>
      <c r="R8" s="760">
        <f>'Section 11 data country'!$H$6</f>
        <v>139.09399999999999</v>
      </c>
      <c r="S8" s="760">
        <f>'Section 11 data country'!$M$26</f>
        <v>2272.7440000000001</v>
      </c>
      <c r="T8" s="761">
        <f>'Section 11 data country'!$N$26</f>
        <v>6.3794291254089313</v>
      </c>
      <c r="U8" s="760">
        <f>'Section 11 data country'!$I$6</f>
        <v>193.01599999999999</v>
      </c>
      <c r="V8" s="760">
        <f>'Section 11 data country'!$O$26</f>
        <v>1864.1179999999999</v>
      </c>
      <c r="W8" s="761">
        <f>'Section 11 data country'!$P$26</f>
        <v>6.0087275633713189</v>
      </c>
      <c r="X8" s="760">
        <f>'Section 11 data country'!$J$6</f>
        <v>127.23299999999998</v>
      </c>
      <c r="Y8" s="760">
        <f>'Section 11 data country'!$Q$26</f>
        <v>1537.9449999999999</v>
      </c>
      <c r="Z8" s="761">
        <f>'Section 11 data country'!$R$26</f>
        <v>5.3753890135659841</v>
      </c>
      <c r="AA8" s="760">
        <f>'Section 11 data country'!$K$6</f>
        <v>133.34199999999998</v>
      </c>
      <c r="AB8" s="760">
        <f>'Section 11 data country'!$S$26</f>
        <v>1437.366</v>
      </c>
      <c r="AC8" s="761">
        <f>'Section 11 data country'!$T$26</f>
        <v>5.6549002041536838</v>
      </c>
      <c r="AD8" s="760">
        <f>'Section 11 data country'!$L$6</f>
        <v>161.45600000000002</v>
      </c>
      <c r="AE8" s="760">
        <f>'Section 11 data country'!$U$26</f>
        <v>1622.8710000000001</v>
      </c>
      <c r="AF8" s="761">
        <f>'Section 11 data country'!$V$26</f>
        <v>5.9226321723649189</v>
      </c>
      <c r="AG8" s="760">
        <f>'Section 11 data country'!$M$6</f>
        <v>156.49700000000001</v>
      </c>
      <c r="AH8" s="760">
        <f>'Section 11 data country'!$W$26</f>
        <v>1370.6420000000001</v>
      </c>
      <c r="AI8" s="762">
        <f>'Section 11 data country'!$X$26</f>
        <v>5.9733356391400863</v>
      </c>
    </row>
    <row r="9" spans="2:35" ht="15" customHeight="1" x14ac:dyDescent="0.2">
      <c r="B9" s="763" t="s">
        <v>286</v>
      </c>
      <c r="C9" s="764">
        <f>'Section 11 data country'!$C$7</f>
        <v>0.20200000000000001</v>
      </c>
      <c r="D9" s="764">
        <f>'Section 11 data country'!$C$27</f>
        <v>153.881</v>
      </c>
      <c r="E9" s="765">
        <f>'Section 11 data country'!$D$27</f>
        <v>16.690000000000001</v>
      </c>
      <c r="F9" s="764">
        <f>'Section 11 data country'!$F$7</f>
        <v>0.17199999999999999</v>
      </c>
      <c r="G9" s="764">
        <f>'Section 11 data country'!$E$27</f>
        <v>167.83799999999999</v>
      </c>
      <c r="H9" s="765">
        <f>'Section 11 data country'!$F$27</f>
        <v>16.510000000000002</v>
      </c>
      <c r="I9" s="764">
        <f>'Section 11 data country'!$E$7</f>
        <v>0.27700000000000002</v>
      </c>
      <c r="J9" s="764">
        <f>'Section 11 data country'!$G$27</f>
        <v>61.006</v>
      </c>
      <c r="K9" s="765">
        <f>'Section 11 data country'!$H$27</f>
        <v>24.92</v>
      </c>
      <c r="L9" s="764">
        <f>'Section 11 data country'!$F$7</f>
        <v>0.17199999999999999</v>
      </c>
      <c r="M9" s="764">
        <f>'Section 11 data country'!$I$27</f>
        <v>94.503</v>
      </c>
      <c r="N9" s="765">
        <f>'Section 11 data country'!$J$27</f>
        <v>31.67</v>
      </c>
      <c r="O9" s="764">
        <f>'Section 11 data country'!$G$7</f>
        <v>0.44</v>
      </c>
      <c r="P9" s="764">
        <f>'Section 11 data country'!$K$27</f>
        <v>41.994</v>
      </c>
      <c r="Q9" s="765">
        <f>'Section 11 data country'!$L$27</f>
        <v>25.46</v>
      </c>
      <c r="R9" s="764">
        <f>'Section 11 data country'!$H$7</f>
        <v>0.89700000000000002</v>
      </c>
      <c r="S9" s="764">
        <f>'Section 11 data country'!$M$27</f>
        <v>46.180999999999997</v>
      </c>
      <c r="T9" s="765">
        <f>'Section 11 data country'!$N$27</f>
        <v>15.12</v>
      </c>
      <c r="U9" s="764">
        <f>'Section 11 data country'!$I$7</f>
        <v>7.2649999999999997</v>
      </c>
      <c r="V9" s="764">
        <f>'Section 11 data country'!$O$27</f>
        <v>67.045000000000002</v>
      </c>
      <c r="W9" s="765">
        <f>'Section 11 data country'!$P$27</f>
        <v>26.03</v>
      </c>
      <c r="X9" s="764">
        <f>'Section 11 data country'!$J$7</f>
        <v>1.4870000000000001</v>
      </c>
      <c r="Y9" s="764">
        <f>'Section 11 data country'!$Q$27</f>
        <v>102.124</v>
      </c>
      <c r="Z9" s="765">
        <f>'Section 11 data country'!$R$27</f>
        <v>42.15</v>
      </c>
      <c r="AA9" s="764">
        <f>'Section 11 data country'!$K$7</f>
        <v>2.597</v>
      </c>
      <c r="AB9" s="764">
        <f>'Section 11 data country'!$S$27</f>
        <v>53.963000000000001</v>
      </c>
      <c r="AC9" s="765">
        <f>'Section 11 data country'!$T$27</f>
        <v>13.71</v>
      </c>
      <c r="AD9" s="764">
        <f>'Section 11 data country'!$L$7</f>
        <v>2.7480000000000002</v>
      </c>
      <c r="AE9" s="764">
        <f>'Section 11 data country'!$U$27</f>
        <v>61.670999999999999</v>
      </c>
      <c r="AF9" s="765">
        <f>'Section 11 data country'!$V$27</f>
        <v>14.9</v>
      </c>
      <c r="AG9" s="764">
        <f>'Section 11 data country'!$M$7</f>
        <v>2.488</v>
      </c>
      <c r="AH9" s="764">
        <f>'Section 11 data country'!$W$27</f>
        <v>67.144999999999996</v>
      </c>
      <c r="AI9" s="766">
        <f>'Section 11 data country'!$X$27</f>
        <v>11.24</v>
      </c>
    </row>
    <row r="10" spans="2:35" ht="15" customHeight="1" x14ac:dyDescent="0.2">
      <c r="B10" s="763" t="s">
        <v>298</v>
      </c>
      <c r="C10" s="764">
        <f>'Section 11 data country'!$C$8</f>
        <v>1.1779999999999999</v>
      </c>
      <c r="D10" s="764">
        <f>'Section 11 data country'!$C$28</f>
        <v>76.659000000000006</v>
      </c>
      <c r="E10" s="765">
        <f>'Section 11 data country'!$D$28</f>
        <v>23.21</v>
      </c>
      <c r="F10" s="764">
        <f>'Section 11 data country'!$F$8</f>
        <v>1.58</v>
      </c>
      <c r="G10" s="764">
        <f>'Section 11 data country'!$E$28</f>
        <v>71.724999999999994</v>
      </c>
      <c r="H10" s="765">
        <f>'Section 11 data country'!$F$28</f>
        <v>17.27</v>
      </c>
      <c r="I10" s="764">
        <f>'Section 11 data country'!$E$8</f>
        <v>2.0339999999999998</v>
      </c>
      <c r="J10" s="764">
        <f>'Section 11 data country'!$G$28</f>
        <v>17.383749999999999</v>
      </c>
      <c r="K10" s="765">
        <f>'Section 11 data country'!$H$28</f>
        <v>23.72</v>
      </c>
      <c r="L10" s="764">
        <f>'Section 11 data country'!$F$8</f>
        <v>1.58</v>
      </c>
      <c r="M10" s="764">
        <f>'Section 11 data country'!$I$28</f>
        <v>54.444000000000003</v>
      </c>
      <c r="N10" s="765">
        <f>'Section 11 data country'!$J$28</f>
        <v>17.68</v>
      </c>
      <c r="O10" s="764">
        <f>'Section 11 data country'!$G$8</f>
        <v>3.5289999999999999</v>
      </c>
      <c r="P10" s="764">
        <f>'Section 11 data country'!$K$28</f>
        <v>54.802999999999997</v>
      </c>
      <c r="Q10" s="765">
        <f>'Section 11 data country'!$L$28</f>
        <v>19.87</v>
      </c>
      <c r="R10" s="764">
        <f>'Section 11 data country'!$H$8</f>
        <v>3.3650000000000002</v>
      </c>
      <c r="S10" s="764">
        <f>'Section 11 data country'!$M$28</f>
        <v>81.849999999999994</v>
      </c>
      <c r="T10" s="765">
        <f>'Section 11 data country'!$N$28</f>
        <v>33.380000000000003</v>
      </c>
      <c r="U10" s="764">
        <f>'Section 11 data country'!$I$8</f>
        <v>3.62</v>
      </c>
      <c r="V10" s="764">
        <f>'Section 11 data country'!$O$28</f>
        <v>90.275000000000006</v>
      </c>
      <c r="W10" s="765">
        <f>'Section 11 data country'!$P$28</f>
        <v>17.09</v>
      </c>
      <c r="X10" s="764">
        <f>'Section 11 data country'!$J$8</f>
        <v>3.8079999999999998</v>
      </c>
      <c r="Y10" s="764">
        <f>'Section 11 data country'!$Q$28</f>
        <v>61.390999999999998</v>
      </c>
      <c r="Z10" s="765">
        <f>'Section 11 data country'!$R$28</f>
        <v>14.14</v>
      </c>
      <c r="AA10" s="764">
        <f>'Section 11 data country'!$K$8</f>
        <v>3.7189999999999999</v>
      </c>
      <c r="AB10" s="764">
        <f>'Section 11 data country'!$S$28</f>
        <v>59.960999999999999</v>
      </c>
      <c r="AC10" s="765">
        <f>'Section 11 data country'!$T$28</f>
        <v>14.72</v>
      </c>
      <c r="AD10" s="764">
        <f>'Section 11 data country'!$L$8</f>
        <v>6.8019999999999996</v>
      </c>
      <c r="AE10" s="764">
        <f>'Section 11 data country'!$U$28</f>
        <v>66.349999999999994</v>
      </c>
      <c r="AF10" s="765">
        <f>'Section 11 data country'!$V$28</f>
        <v>16.649999999999999</v>
      </c>
      <c r="AG10" s="764">
        <f>'Section 11 data country'!$M$8</f>
        <v>12.641999999999999</v>
      </c>
      <c r="AH10" s="764">
        <f>'Section 11 data country'!$W$28</f>
        <v>81.378</v>
      </c>
      <c r="AI10" s="766">
        <f>'Section 11 data country'!$X$28</f>
        <v>20.61</v>
      </c>
    </row>
    <row r="11" spans="2:35" ht="15" customHeight="1" x14ac:dyDescent="0.2">
      <c r="B11" s="763" t="s">
        <v>287</v>
      </c>
      <c r="C11" s="764">
        <f>'Section 11 data country'!$C$9</f>
        <v>2.6280000000000001</v>
      </c>
      <c r="D11" s="764">
        <f>'Section 11 data country'!$C$29</f>
        <v>149.923</v>
      </c>
      <c r="E11" s="765">
        <f>'Section 11 data country'!$D$29</f>
        <v>32.81</v>
      </c>
      <c r="F11" s="764">
        <f>'Section 11 data country'!$F$9</f>
        <v>5.0279999999999996</v>
      </c>
      <c r="G11" s="764">
        <f>'Section 11 data country'!$E$29</f>
        <v>114.81699999999999</v>
      </c>
      <c r="H11" s="765">
        <f>'Section 11 data country'!$F$29</f>
        <v>20.92</v>
      </c>
      <c r="I11" s="764">
        <f>'Section 11 data country'!$E$9</f>
        <v>2.0299999999999998</v>
      </c>
      <c r="J11" s="764">
        <f>'Section 11 data country'!$G$29</f>
        <v>95.477000000000004</v>
      </c>
      <c r="K11" s="765">
        <f>'Section 11 data country'!$H$29</f>
        <v>24.78</v>
      </c>
      <c r="L11" s="764">
        <f>'Section 11 data country'!$F$9</f>
        <v>5.0279999999999996</v>
      </c>
      <c r="M11" s="764">
        <f>'Section 11 data country'!$I$29</f>
        <v>44.831000000000003</v>
      </c>
      <c r="N11" s="765">
        <f>'Section 11 data country'!$J$29</f>
        <v>17.690000000000001</v>
      </c>
      <c r="O11" s="764">
        <f>'Section 11 data country'!$G$9</f>
        <v>2.6469999999999998</v>
      </c>
      <c r="P11" s="764">
        <f>'Section 11 data country'!$K$29</f>
        <v>109.093</v>
      </c>
      <c r="Q11" s="765">
        <f>'Section 11 data country'!$L$29</f>
        <v>33.85</v>
      </c>
      <c r="R11" s="764">
        <f>'Section 11 data country'!$H$9</f>
        <v>6.2110000000000003</v>
      </c>
      <c r="S11" s="764">
        <f>'Section 11 data country'!$M$29</f>
        <v>62.363999999999997</v>
      </c>
      <c r="T11" s="765">
        <f>'Section 11 data country'!$N$29</f>
        <v>25.71</v>
      </c>
      <c r="U11" s="764">
        <f>'Section 11 data country'!$I$9</f>
        <v>5.2809999999999997</v>
      </c>
      <c r="V11" s="764">
        <f>'Section 11 data country'!$O$29</f>
        <v>71.593000000000004</v>
      </c>
      <c r="W11" s="765">
        <f>'Section 11 data country'!$P$29</f>
        <v>14.18</v>
      </c>
      <c r="X11" s="764">
        <f>'Section 11 data country'!$J$9</f>
        <v>8.4190000000000005</v>
      </c>
      <c r="Y11" s="764">
        <f>'Section 11 data country'!$Q$29</f>
        <v>67.191999999999993</v>
      </c>
      <c r="Z11" s="765">
        <f>'Section 11 data country'!$R$29</f>
        <v>21.39</v>
      </c>
      <c r="AA11" s="764">
        <f>'Section 11 data country'!$K$9</f>
        <v>5.8070000000000004</v>
      </c>
      <c r="AB11" s="764">
        <f>'Section 11 data country'!$S$29</f>
        <v>67.012</v>
      </c>
      <c r="AC11" s="765">
        <f>'Section 11 data country'!$T$29</f>
        <v>16.64</v>
      </c>
      <c r="AD11" s="764">
        <f>'Section 11 data country'!$L$9</f>
        <v>10.347</v>
      </c>
      <c r="AE11" s="764">
        <f>'Section 11 data country'!$U$29</f>
        <v>69.75</v>
      </c>
      <c r="AF11" s="765">
        <f>'Section 11 data country'!$V$29</f>
        <v>17.55</v>
      </c>
      <c r="AG11" s="764">
        <f>'Section 11 data country'!$M$9</f>
        <v>6.1660000000000004</v>
      </c>
      <c r="AH11" s="764">
        <f>'Section 11 data country'!$W$29</f>
        <v>96.977999999999994</v>
      </c>
      <c r="AI11" s="766">
        <f>'Section 11 data country'!$X$29</f>
        <v>16.850000000000001</v>
      </c>
    </row>
    <row r="12" spans="2:35" ht="15" customHeight="1" x14ac:dyDescent="0.2">
      <c r="B12" s="763" t="s">
        <v>288</v>
      </c>
      <c r="C12" s="764">
        <f>'Section 11 data country'!$C$10</f>
        <v>0.95499999999999996</v>
      </c>
      <c r="D12" s="764">
        <f>'Section 11 data country'!$C$30</f>
        <v>147.863</v>
      </c>
      <c r="E12" s="765">
        <f>'Section 11 data country'!$D$30</f>
        <v>29.3</v>
      </c>
      <c r="F12" s="764">
        <f>'Section 11 data country'!$F$10</f>
        <v>4.6989999999999998</v>
      </c>
      <c r="G12" s="764">
        <f>'Section 11 data country'!$E$30</f>
        <v>109.11799999999999</v>
      </c>
      <c r="H12" s="765">
        <f>'Section 11 data country'!$F$30</f>
        <v>20.6</v>
      </c>
      <c r="I12" s="764">
        <f>'Section 11 data country'!$E$10</f>
        <v>1.861</v>
      </c>
      <c r="J12" s="764">
        <f>'Section 11 data country'!$G$30</f>
        <v>76.44</v>
      </c>
      <c r="K12" s="765">
        <f>'Section 11 data country'!$H$30</f>
        <v>29.69</v>
      </c>
      <c r="L12" s="764">
        <f>'Section 11 data country'!$F$10</f>
        <v>4.6989999999999998</v>
      </c>
      <c r="M12" s="764">
        <f>'Section 11 data country'!$I$30</f>
        <v>76.94</v>
      </c>
      <c r="N12" s="765">
        <f>'Section 11 data country'!$J$30</f>
        <v>32.71</v>
      </c>
      <c r="O12" s="764">
        <f>'Section 11 data country'!$G$10</f>
        <v>5.8689999999999998</v>
      </c>
      <c r="P12" s="764">
        <f>'Section 11 data country'!$K$30</f>
        <v>58.609000000000002</v>
      </c>
      <c r="Q12" s="765">
        <f>'Section 11 data country'!$L$30</f>
        <v>34.270000000000003</v>
      </c>
      <c r="R12" s="764">
        <f>'Section 11 data country'!$H$10</f>
        <v>4.4809999999999999</v>
      </c>
      <c r="S12" s="764">
        <f>'Section 11 data country'!$M$30</f>
        <v>29.579000000000001</v>
      </c>
      <c r="T12" s="765">
        <f>'Section 11 data country'!$N$30</f>
        <v>16.7</v>
      </c>
      <c r="U12" s="764">
        <f>'Section 11 data country'!$I$10</f>
        <v>8.7420000000000009</v>
      </c>
      <c r="V12" s="764">
        <f>'Section 11 data country'!$O$30</f>
        <v>53.497999999999998</v>
      </c>
      <c r="W12" s="765">
        <f>'Section 11 data country'!$P$30</f>
        <v>16.13</v>
      </c>
      <c r="X12" s="764">
        <f>'Section 11 data country'!$J$10</f>
        <v>4.8159999999999998</v>
      </c>
      <c r="Y12" s="764">
        <f>'Section 11 data country'!$Q$30</f>
        <v>66.314999999999998</v>
      </c>
      <c r="Z12" s="765">
        <f>'Section 11 data country'!$R$30</f>
        <v>35.549999999999997</v>
      </c>
      <c r="AA12" s="764">
        <f>'Section 11 data country'!$K$10</f>
        <v>8.8049999999999997</v>
      </c>
      <c r="AB12" s="764">
        <f>'Section 11 data country'!$S$30</f>
        <v>46.466000000000001</v>
      </c>
      <c r="AC12" s="765">
        <f>'Section 11 data country'!$T$30</f>
        <v>23.81</v>
      </c>
      <c r="AD12" s="764">
        <f>'Section 11 data country'!$L$10</f>
        <v>5.0659999999999998</v>
      </c>
      <c r="AE12" s="764">
        <f>'Section 11 data country'!$U$30</f>
        <v>58.829000000000001</v>
      </c>
      <c r="AF12" s="765">
        <f>'Section 11 data country'!$V$30</f>
        <v>21.94</v>
      </c>
      <c r="AG12" s="764">
        <f>'Section 11 data country'!$M$10</f>
        <v>5.4279999999999999</v>
      </c>
      <c r="AH12" s="764">
        <f>'Section 11 data country'!$W$30</f>
        <v>63.308999999999997</v>
      </c>
      <c r="AI12" s="766">
        <f>'Section 11 data country'!$X$30</f>
        <v>18.77</v>
      </c>
    </row>
    <row r="13" spans="2:35" ht="15" customHeight="1" x14ac:dyDescent="0.2">
      <c r="B13" s="763" t="s">
        <v>301</v>
      </c>
      <c r="C13" s="764">
        <f>'Section 11 data country'!$C$11</f>
        <v>0.19800000000000001</v>
      </c>
      <c r="D13" s="764">
        <f>'Section 11 data country'!$C$31</f>
        <v>240.05</v>
      </c>
      <c r="E13" s="765">
        <f>'Section 11 data country'!$D$31</f>
        <v>42.59</v>
      </c>
      <c r="F13" s="764">
        <f>'Section 11 data country'!$F$11</f>
        <v>0.29399999999999998</v>
      </c>
      <c r="G13" s="764">
        <f>'Section 11 data country'!$E$31</f>
        <v>115.809</v>
      </c>
      <c r="H13" s="765">
        <f>'Section 11 data country'!$F$31</f>
        <v>41.61</v>
      </c>
      <c r="I13" s="764">
        <f>'Section 11 data country'!$E$11</f>
        <v>0.24199999999999999</v>
      </c>
      <c r="J13" s="764">
        <f>'Section 11 data country'!$G$31</f>
        <v>26.077999999999999</v>
      </c>
      <c r="K13" s="765">
        <f>'Section 11 data country'!$H$31</f>
        <v>27.12</v>
      </c>
      <c r="L13" s="764">
        <f>'Section 11 data country'!$F$11</f>
        <v>0.29399999999999998</v>
      </c>
      <c r="M13" s="764">
        <f>'Section 11 data country'!$I$31</f>
        <v>43.500999999999998</v>
      </c>
      <c r="N13" s="765">
        <f>'Section 11 data country'!$J$31</f>
        <v>49.3</v>
      </c>
      <c r="O13" s="764">
        <f>'Section 11 data country'!$G$11</f>
        <v>0.61699999999999999</v>
      </c>
      <c r="P13" s="764">
        <f>'Section 11 data country'!$K$31</f>
        <v>34.613999999999997</v>
      </c>
      <c r="Q13" s="765">
        <f>'Section 11 data country'!$L$31</f>
        <v>25.39</v>
      </c>
      <c r="R13" s="764">
        <f>'Section 11 data country'!$H$11</f>
        <v>0.627</v>
      </c>
      <c r="S13" s="764">
        <f>'Section 11 data country'!$M$31</f>
        <v>36.002000000000002</v>
      </c>
      <c r="T13" s="765">
        <f>'Section 11 data country'!$N$31</f>
        <v>21.41</v>
      </c>
      <c r="U13" s="764">
        <f>'Section 11 data country'!$I$11</f>
        <v>0.51800000000000002</v>
      </c>
      <c r="V13" s="764">
        <f>'Section 11 data country'!$O$31</f>
        <v>36.689</v>
      </c>
      <c r="W13" s="765">
        <f>'Section 11 data country'!$P$31</f>
        <v>21.43</v>
      </c>
      <c r="X13" s="764">
        <f>'Section 11 data country'!$J$11</f>
        <v>0.32500000000000001</v>
      </c>
      <c r="Y13" s="764">
        <f>'Section 11 data country'!$Q$31</f>
        <v>49.747</v>
      </c>
      <c r="Z13" s="765">
        <f>'Section 11 data country'!$R$31</f>
        <v>22</v>
      </c>
      <c r="AA13" s="764">
        <f>'Section 11 data country'!$K$11</f>
        <v>1.038</v>
      </c>
      <c r="AB13" s="764">
        <f>'Section 11 data country'!$S$31</f>
        <v>59.463000000000001</v>
      </c>
      <c r="AC13" s="765">
        <f>'Section 11 data country'!$T$31</f>
        <v>32.29</v>
      </c>
      <c r="AD13" s="764">
        <f>'Section 11 data country'!$L$11</f>
        <v>0.17499999999999999</v>
      </c>
      <c r="AE13" s="764">
        <f>'Section 11 data country'!$U$31</f>
        <v>64.822999999999993</v>
      </c>
      <c r="AF13" s="765">
        <f>'Section 11 data country'!$V$31</f>
        <v>30.65</v>
      </c>
      <c r="AG13" s="764">
        <f>'Section 11 data country'!$M$11</f>
        <v>0.35399999999999998</v>
      </c>
      <c r="AH13" s="764">
        <f>'Section 11 data country'!$W$31</f>
        <v>78.119</v>
      </c>
      <c r="AI13" s="766">
        <f>'Section 11 data country'!$X$31</f>
        <v>34.03</v>
      </c>
    </row>
    <row r="14" spans="2:35" ht="15" customHeight="1" x14ac:dyDescent="0.2">
      <c r="B14" s="763" t="s">
        <v>302</v>
      </c>
      <c r="C14" s="764">
        <f>'Section 11 data country'!$C$12</f>
        <v>0.13</v>
      </c>
      <c r="D14" s="764">
        <f>'Section 11 data country'!$C$32</f>
        <v>63.548999999999999</v>
      </c>
      <c r="E14" s="765">
        <f>'Section 11 data country'!$D$32</f>
        <v>53.95</v>
      </c>
      <c r="F14" s="764">
        <f>'Section 11 data country'!$F$12</f>
        <v>0.17799999999999999</v>
      </c>
      <c r="G14" s="764">
        <f>'Section 11 data country'!$E$32</f>
        <v>48.540999999999997</v>
      </c>
      <c r="H14" s="765">
        <f>'Section 11 data country'!$F$32</f>
        <v>34.93</v>
      </c>
      <c r="I14" s="764">
        <f>'Section 11 data country'!$E$12</f>
        <v>0.129</v>
      </c>
      <c r="J14" s="764">
        <f>'Section 11 data country'!$G$32</f>
        <v>21.111999999999998</v>
      </c>
      <c r="K14" s="765">
        <f>'Section 11 data country'!$H$32</f>
        <v>30.32</v>
      </c>
      <c r="L14" s="764">
        <f>'Section 11 data country'!$F$12</f>
        <v>0.17799999999999999</v>
      </c>
      <c r="M14" s="764">
        <f>'Section 11 data country'!$I$32</f>
        <v>20.292000000000002</v>
      </c>
      <c r="N14" s="765">
        <f>'Section 11 data country'!$J$32</f>
        <v>31.74</v>
      </c>
      <c r="O14" s="764">
        <f>'Section 11 data country'!$G$12</f>
        <v>0.16500000000000001</v>
      </c>
      <c r="P14" s="764">
        <f>'Section 11 data country'!$K$32</f>
        <v>17.062999999999999</v>
      </c>
      <c r="Q14" s="765">
        <f>'Section 11 data country'!$L$32</f>
        <v>22.19</v>
      </c>
      <c r="R14" s="764">
        <f>'Section 11 data country'!$H$12</f>
        <v>9.8689999999999998</v>
      </c>
      <c r="S14" s="764">
        <f>'Section 11 data country'!$M$32</f>
        <v>18.001000000000001</v>
      </c>
      <c r="T14" s="765">
        <f>'Section 11 data country'!$N$32</f>
        <v>21.42</v>
      </c>
      <c r="U14" s="764">
        <f>'Section 11 data country'!$I$12</f>
        <v>0.40400000000000003</v>
      </c>
      <c r="V14" s="764">
        <f>'Section 11 data country'!$O$32</f>
        <v>22.27</v>
      </c>
      <c r="W14" s="765">
        <f>'Section 11 data country'!$P$32</f>
        <v>18.88</v>
      </c>
      <c r="X14" s="764">
        <f>'Section 11 data country'!$J$12</f>
        <v>0.28499999999999998</v>
      </c>
      <c r="Y14" s="764">
        <f>'Section 11 data country'!$Q$32</f>
        <v>22.626000000000001</v>
      </c>
      <c r="Z14" s="765">
        <f>'Section 11 data country'!$R$32</f>
        <v>19.12</v>
      </c>
      <c r="AA14" s="764">
        <f>'Section 11 data country'!$K$12</f>
        <v>0.73499999999999999</v>
      </c>
      <c r="AB14" s="764">
        <f>'Section 11 data country'!$S$32</f>
        <v>49.206000000000003</v>
      </c>
      <c r="AC14" s="765">
        <f>'Section 11 data country'!$T$32</f>
        <v>31.49</v>
      </c>
      <c r="AD14" s="764">
        <f>'Section 11 data country'!$L$12</f>
        <v>0.68899999999999995</v>
      </c>
      <c r="AE14" s="764">
        <f>'Section 11 data country'!$U$32</f>
        <v>21.638999999999999</v>
      </c>
      <c r="AF14" s="765">
        <f>'Section 11 data country'!$V$32</f>
        <v>25.3</v>
      </c>
      <c r="AG14" s="764">
        <f>'Section 11 data country'!$M$12</f>
        <v>0.84</v>
      </c>
      <c r="AH14" s="764">
        <f>'Section 11 data country'!$W$32</f>
        <v>25.542999999999999</v>
      </c>
      <c r="AI14" s="766">
        <f>'Section 11 data country'!$X$32</f>
        <v>27.48</v>
      </c>
    </row>
    <row r="15" spans="2:35" ht="15" customHeight="1" x14ac:dyDescent="0.2">
      <c r="B15" s="763" t="s">
        <v>303</v>
      </c>
      <c r="C15" s="764">
        <f>'Section 11 data country'!$C$13</f>
        <v>0.82199999999999995</v>
      </c>
      <c r="D15" s="764">
        <f>'Section 11 data country'!$C$33</f>
        <v>175.386</v>
      </c>
      <c r="E15" s="765">
        <f>'Section 11 data country'!$D$33</f>
        <v>16.48</v>
      </c>
      <c r="F15" s="764">
        <f>'Section 11 data country'!$F$13</f>
        <v>6.3440000000000003</v>
      </c>
      <c r="G15" s="764">
        <f>'Section 11 data country'!$E$33</f>
        <v>181.68</v>
      </c>
      <c r="H15" s="765">
        <f>'Section 11 data country'!$F$33</f>
        <v>18.72</v>
      </c>
      <c r="I15" s="764">
        <f>'Section 11 data country'!$E$13</f>
        <v>1.6879999999999999</v>
      </c>
      <c r="J15" s="764">
        <f>'Section 11 data country'!$G$33</f>
        <v>153.43700000000001</v>
      </c>
      <c r="K15" s="765">
        <f>'Section 11 data country'!$H$33</f>
        <v>16.190000000000001</v>
      </c>
      <c r="L15" s="764">
        <f>'Section 11 data country'!$F$13</f>
        <v>6.3440000000000003</v>
      </c>
      <c r="M15" s="764">
        <f>'Section 11 data country'!$I$33</f>
        <v>132.709</v>
      </c>
      <c r="N15" s="765">
        <f>'Section 11 data country'!$J$33</f>
        <v>23.23</v>
      </c>
      <c r="O15" s="764">
        <f>'Section 11 data country'!$G$13</f>
        <v>3.371</v>
      </c>
      <c r="P15" s="764">
        <f>'Section 11 data country'!$K$33</f>
        <v>109.968</v>
      </c>
      <c r="Q15" s="765">
        <f>'Section 11 data country'!$L$33</f>
        <v>21.02</v>
      </c>
      <c r="R15" s="764">
        <f>'Section 11 data country'!$H$13</f>
        <v>6.585</v>
      </c>
      <c r="S15" s="764">
        <f>'Section 11 data country'!$M$33</f>
        <v>99.257000000000005</v>
      </c>
      <c r="T15" s="765">
        <f>'Section 11 data country'!$N$33</f>
        <v>16.010000000000002</v>
      </c>
      <c r="U15" s="764">
        <f>'Section 11 data country'!$I$13</f>
        <v>5.7949999999999999</v>
      </c>
      <c r="V15" s="764">
        <f>'Section 11 data country'!$O$33</f>
        <v>122.413</v>
      </c>
      <c r="W15" s="765">
        <f>'Section 11 data country'!$P$33</f>
        <v>23.92</v>
      </c>
      <c r="X15" s="764">
        <f>'Section 11 data country'!$J$13</f>
        <v>7.8540000000000001</v>
      </c>
      <c r="Y15" s="764">
        <f>'Section 11 data country'!$Q$33</f>
        <v>113.898</v>
      </c>
      <c r="Z15" s="765">
        <f>'Section 11 data country'!$R$33</f>
        <v>12.83</v>
      </c>
      <c r="AA15" s="764">
        <f>'Section 11 data country'!$K$13</f>
        <v>4.4390000000000001</v>
      </c>
      <c r="AB15" s="764">
        <f>'Section 11 data country'!$S$33</f>
        <v>206.43100000000001</v>
      </c>
      <c r="AC15" s="765">
        <f>'Section 11 data country'!$T$33</f>
        <v>20.51</v>
      </c>
      <c r="AD15" s="764">
        <f>'Section 11 data country'!$L$13</f>
        <v>17.875</v>
      </c>
      <c r="AE15" s="764">
        <f>'Section 11 data country'!$U$33</f>
        <v>115.17100000000001</v>
      </c>
      <c r="AF15" s="765">
        <f>'Section 11 data country'!$V$33</f>
        <v>14.26</v>
      </c>
      <c r="AG15" s="764">
        <f>'Section 11 data country'!$M$13</f>
        <v>4.6109999999999998</v>
      </c>
      <c r="AH15" s="764">
        <f>'Section 11 data country'!$W$33</f>
        <v>186.05799999999999</v>
      </c>
      <c r="AI15" s="766">
        <f>'Section 11 data country'!$X$33</f>
        <v>18.25</v>
      </c>
    </row>
    <row r="16" spans="2:35" ht="15" customHeight="1" x14ac:dyDescent="0.2">
      <c r="B16" s="763" t="s">
        <v>304</v>
      </c>
      <c r="C16" s="764">
        <f>'Section 11 data country'!$C$14</f>
        <v>1.175</v>
      </c>
      <c r="D16" s="764">
        <f>'Section 11 data country'!$C$34</f>
        <v>173.88300000000001</v>
      </c>
      <c r="E16" s="765">
        <f>'Section 11 data country'!$D$34</f>
        <v>37.08</v>
      </c>
      <c r="F16" s="764">
        <f>'Section 11 data country'!$F$14</f>
        <v>3.371</v>
      </c>
      <c r="G16" s="764">
        <f>'Section 11 data country'!$E$34</f>
        <v>105.358</v>
      </c>
      <c r="H16" s="765">
        <f>'Section 11 data country'!$F$34</f>
        <v>21.07</v>
      </c>
      <c r="I16" s="764">
        <f>'Section 11 data country'!$E$14</f>
        <v>6.3440000000000003</v>
      </c>
      <c r="J16" s="764">
        <f>'Section 11 data country'!$G$34</f>
        <v>55.807000000000002</v>
      </c>
      <c r="K16" s="765">
        <f>'Section 11 data country'!$H$34</f>
        <v>25.54</v>
      </c>
      <c r="L16" s="764">
        <f>'Section 11 data country'!$F$14</f>
        <v>3.371</v>
      </c>
      <c r="M16" s="764">
        <f>'Section 11 data country'!$I$34</f>
        <v>32.44</v>
      </c>
      <c r="N16" s="765">
        <f>'Section 11 data country'!$J$34</f>
        <v>22.84</v>
      </c>
      <c r="O16" s="764">
        <f>'Section 11 data country'!$G$14</f>
        <v>6.585</v>
      </c>
      <c r="P16" s="764">
        <f>'Section 11 data country'!$K$34</f>
        <v>36.048000000000002</v>
      </c>
      <c r="Q16" s="765">
        <f>'Section 11 data country'!$L$34</f>
        <v>19.64</v>
      </c>
      <c r="R16" s="764">
        <f>'Section 11 data country'!$H$14</f>
        <v>5.7949999999999999</v>
      </c>
      <c r="S16" s="764">
        <f>'Section 11 data country'!$M$34</f>
        <v>55.136000000000003</v>
      </c>
      <c r="T16" s="765">
        <f>'Section 11 data country'!$N$34</f>
        <v>20.329999999999998</v>
      </c>
      <c r="U16" s="764">
        <f>'Section 11 data country'!$I$14</f>
        <v>7.8540000000000001</v>
      </c>
      <c r="V16" s="764">
        <f>'Section 11 data country'!$O$34</f>
        <v>64.620999999999995</v>
      </c>
      <c r="W16" s="765">
        <f>'Section 11 data country'!$P$34</f>
        <v>20.93</v>
      </c>
      <c r="X16" s="764">
        <f>'Section 11 data country'!$J$14</f>
        <v>4.4390000000000001</v>
      </c>
      <c r="Y16" s="764">
        <f>'Section 11 data country'!$Q$34</f>
        <v>49.813000000000002</v>
      </c>
      <c r="Z16" s="765">
        <f>'Section 11 data country'!$R$34</f>
        <v>33.53</v>
      </c>
      <c r="AA16" s="764">
        <f>'Section 11 data country'!$K$14</f>
        <v>17.875</v>
      </c>
      <c r="AB16" s="764">
        <f>'Section 11 data country'!$S$34</f>
        <v>59.04</v>
      </c>
      <c r="AC16" s="765">
        <f>'Section 11 data country'!$T$34</f>
        <v>25.71</v>
      </c>
      <c r="AD16" s="764">
        <f>'Section 11 data country'!$L$14</f>
        <v>4.6109999999999998</v>
      </c>
      <c r="AE16" s="764">
        <f>'Section 11 data country'!$U$34</f>
        <v>52.491</v>
      </c>
      <c r="AF16" s="765">
        <f>'Section 11 data country'!$V$34</f>
        <v>19.190000000000001</v>
      </c>
      <c r="AG16" s="764">
        <f>'Section 11 data country'!$M$14</f>
        <v>12.366</v>
      </c>
      <c r="AH16" s="764">
        <f>'Section 11 data country'!$W$34</f>
        <v>62.95</v>
      </c>
      <c r="AI16" s="766">
        <f>'Section 11 data country'!$X$34</f>
        <v>23.77</v>
      </c>
    </row>
    <row r="17" spans="2:35" ht="15" customHeight="1" x14ac:dyDescent="0.2">
      <c r="B17" s="763" t="s">
        <v>291</v>
      </c>
      <c r="C17" s="764">
        <f>'Section 11 data country'!$C$15</f>
        <v>10.935</v>
      </c>
      <c r="D17" s="764">
        <f>'Section 11 data country'!$C$35</f>
        <v>100.90900000000001</v>
      </c>
      <c r="E17" s="765">
        <f>'Section 11 data country'!$D$35</f>
        <v>27.61</v>
      </c>
      <c r="F17" s="764">
        <f>'Section 11 data country'!$F$15</f>
        <v>8.0039999999999996</v>
      </c>
      <c r="G17" s="764">
        <f>'Section 11 data country'!$E$35</f>
        <v>79.908000000000001</v>
      </c>
      <c r="H17" s="765">
        <f>'Section 11 data country'!$F$35</f>
        <v>25.96</v>
      </c>
      <c r="I17" s="764">
        <f>'Section 11 data country'!$E$15</f>
        <v>11.222</v>
      </c>
      <c r="J17" s="764">
        <f>'Section 11 data country'!$G$35</f>
        <v>39.039000000000001</v>
      </c>
      <c r="K17" s="765">
        <f>'Section 11 data country'!$H$35</f>
        <v>26.68</v>
      </c>
      <c r="L17" s="764">
        <f>'Section 11 data country'!$F$15</f>
        <v>8.0039999999999996</v>
      </c>
      <c r="M17" s="764">
        <f>'Section 11 data country'!$I$35</f>
        <v>50.837000000000003</v>
      </c>
      <c r="N17" s="765">
        <f>'Section 11 data country'!$J$35</f>
        <v>31.47</v>
      </c>
      <c r="O17" s="764">
        <f>'Section 11 data country'!$G$15</f>
        <v>12.305</v>
      </c>
      <c r="P17" s="764">
        <f>'Section 11 data country'!$K$35</f>
        <v>35.65</v>
      </c>
      <c r="Q17" s="765">
        <f>'Section 11 data country'!$L$35</f>
        <v>22.92</v>
      </c>
      <c r="R17" s="764">
        <f>'Section 11 data country'!$H$15</f>
        <v>9.9849999999999994</v>
      </c>
      <c r="S17" s="764">
        <f>'Section 11 data country'!$M$35</f>
        <v>24.302</v>
      </c>
      <c r="T17" s="765">
        <f>'Section 11 data country'!$N$35</f>
        <v>15.31</v>
      </c>
      <c r="U17" s="764">
        <f>'Section 11 data country'!$I$15</f>
        <v>34.292000000000002</v>
      </c>
      <c r="V17" s="764">
        <f>'Section 11 data country'!$O$35</f>
        <v>44.088999999999999</v>
      </c>
      <c r="W17" s="765">
        <f>'Section 11 data country'!$P$35</f>
        <v>15.52</v>
      </c>
      <c r="X17" s="764">
        <f>'Section 11 data country'!$J$15</f>
        <v>13.627000000000001</v>
      </c>
      <c r="Y17" s="764">
        <f>'Section 11 data country'!$Q$35</f>
        <v>39.719000000000001</v>
      </c>
      <c r="Z17" s="765">
        <f>'Section 11 data country'!$R$35</f>
        <v>16.22</v>
      </c>
      <c r="AA17" s="764">
        <f>'Section 11 data country'!$K$15</f>
        <v>15.933</v>
      </c>
      <c r="AB17" s="764">
        <f>'Section 11 data country'!$S$35</f>
        <v>38.395000000000003</v>
      </c>
      <c r="AC17" s="765">
        <f>'Section 11 data country'!$T$35</f>
        <v>21.09</v>
      </c>
      <c r="AD17" s="764">
        <f>'Section 11 data country'!$L$15</f>
        <v>16.239000000000001</v>
      </c>
      <c r="AE17" s="764">
        <f>'Section 11 data country'!$U$35</f>
        <v>47.356000000000002</v>
      </c>
      <c r="AF17" s="765">
        <f>'Section 11 data country'!$V$35</f>
        <v>24.42</v>
      </c>
      <c r="AG17" s="764">
        <f>'Section 11 data country'!$M$15</f>
        <v>22.648</v>
      </c>
      <c r="AH17" s="764">
        <f>'Section 11 data country'!$W$35</f>
        <v>53.656999999999996</v>
      </c>
      <c r="AI17" s="766">
        <f>'Section 11 data country'!$X$35</f>
        <v>19.63</v>
      </c>
    </row>
    <row r="18" spans="2:35" ht="15" customHeight="1" x14ac:dyDescent="0.2">
      <c r="B18" s="763" t="s">
        <v>292</v>
      </c>
      <c r="C18" s="764">
        <f>'Section 11 data country'!$C$16</f>
        <v>7.4480000000000004</v>
      </c>
      <c r="D18" s="764">
        <f>'Section 11 data country'!$C$36</f>
        <v>235.62200000000001</v>
      </c>
      <c r="E18" s="765">
        <f>'Section 11 data country'!$D$36</f>
        <v>14.74</v>
      </c>
      <c r="F18" s="764">
        <f>'Section 11 data country'!$F$16</f>
        <v>15.696</v>
      </c>
      <c r="G18" s="764">
        <f>'Section 11 data country'!$E$36</f>
        <v>207.261</v>
      </c>
      <c r="H18" s="765">
        <f>'Section 11 data country'!$F$36</f>
        <v>14.37</v>
      </c>
      <c r="I18" s="764">
        <f>'Section 11 data country'!$E$16</f>
        <v>8.7769999999999992</v>
      </c>
      <c r="J18" s="764">
        <f>'Section 11 data country'!$G$36</f>
        <v>102.551</v>
      </c>
      <c r="K18" s="765">
        <f>'Section 11 data country'!$H$36</f>
        <v>16.04</v>
      </c>
      <c r="L18" s="764">
        <f>'Section 11 data country'!$F$16</f>
        <v>15.696</v>
      </c>
      <c r="M18" s="764">
        <f>'Section 11 data country'!$I$36</f>
        <v>69.957999999999998</v>
      </c>
      <c r="N18" s="765">
        <f>'Section 11 data country'!$J$36</f>
        <v>14.4</v>
      </c>
      <c r="O18" s="764">
        <f>'Section 11 data country'!$G$16</f>
        <v>17.774999999999999</v>
      </c>
      <c r="P18" s="764">
        <f>'Section 11 data country'!$K$36</f>
        <v>88.838999999999999</v>
      </c>
      <c r="Q18" s="765">
        <f>'Section 11 data country'!$L$36</f>
        <v>19.899999999999999</v>
      </c>
      <c r="R18" s="764">
        <f>'Section 11 data country'!$H$16</f>
        <v>46.031999999999996</v>
      </c>
      <c r="S18" s="764">
        <f>'Section 11 data country'!$M$36</f>
        <v>91.116</v>
      </c>
      <c r="T18" s="765">
        <f>'Section 11 data country'!$N$36</f>
        <v>17.39</v>
      </c>
      <c r="U18" s="764">
        <f>'Section 11 data country'!$I$16</f>
        <v>43.795000000000002</v>
      </c>
      <c r="V18" s="764">
        <f>'Section 11 data country'!$O$36</f>
        <v>117.491</v>
      </c>
      <c r="W18" s="765">
        <f>'Section 11 data country'!$P$36</f>
        <v>14.35</v>
      </c>
      <c r="X18" s="764">
        <f>'Section 11 data country'!$J$16</f>
        <v>33.500999999999998</v>
      </c>
      <c r="Y18" s="764">
        <f>'Section 11 data country'!$Q$36</f>
        <v>88.691000000000003</v>
      </c>
      <c r="Z18" s="765">
        <f>'Section 11 data country'!$R$36</f>
        <v>14.21</v>
      </c>
      <c r="AA18" s="764">
        <f>'Section 11 data country'!$K$16</f>
        <v>27.170999999999999</v>
      </c>
      <c r="AB18" s="764">
        <f>'Section 11 data country'!$S$36</f>
        <v>118.07899999999999</v>
      </c>
      <c r="AC18" s="765">
        <f>'Section 11 data country'!$T$36</f>
        <v>13.92</v>
      </c>
      <c r="AD18" s="764">
        <f>'Section 11 data country'!$L$16</f>
        <v>43.365000000000002</v>
      </c>
      <c r="AE18" s="764">
        <f>'Section 11 data country'!$U$36</f>
        <v>129.68100000000001</v>
      </c>
      <c r="AF18" s="765">
        <f>'Section 11 data country'!$V$36</f>
        <v>16.43</v>
      </c>
      <c r="AG18" s="764">
        <f>'Section 11 data country'!$M$16</f>
        <v>30.393999999999998</v>
      </c>
      <c r="AH18" s="764">
        <f>'Section 11 data country'!$W$36</f>
        <v>97.948999999999998</v>
      </c>
      <c r="AI18" s="766">
        <f>'Section 11 data country'!$X$36</f>
        <v>11.88</v>
      </c>
    </row>
    <row r="19" spans="2:35" ht="15" customHeight="1" x14ac:dyDescent="0.2">
      <c r="B19" s="763" t="s">
        <v>293</v>
      </c>
      <c r="C19" s="764">
        <f>'Section 11 data country'!$C$17</f>
        <v>0.53100000000000003</v>
      </c>
      <c r="D19" s="764">
        <f>'Section 11 data country'!$C$37</f>
        <v>272.06400000000002</v>
      </c>
      <c r="E19" s="765">
        <f>'Section 11 data country'!$D$37</f>
        <v>15.85</v>
      </c>
      <c r="F19" s="764">
        <f>'Section 11 data country'!$F$17</f>
        <v>0.58699999999999997</v>
      </c>
      <c r="G19" s="764">
        <f>'Section 11 data country'!$E$37</f>
        <v>253.17</v>
      </c>
      <c r="H19" s="765">
        <f>'Section 11 data country'!$F$37</f>
        <v>14.51</v>
      </c>
      <c r="I19" s="764">
        <f>'Section 11 data country'!$E$17</f>
        <v>0.51900000000000002</v>
      </c>
      <c r="J19" s="764">
        <f>'Section 11 data country'!$G$37</f>
        <v>136.49100000000001</v>
      </c>
      <c r="K19" s="765">
        <f>'Section 11 data country'!$H$37</f>
        <v>18.68</v>
      </c>
      <c r="L19" s="764">
        <f>'Section 11 data country'!$F$17</f>
        <v>0.58699999999999997</v>
      </c>
      <c r="M19" s="764">
        <f>'Section 11 data country'!$I$37</f>
        <v>157.709</v>
      </c>
      <c r="N19" s="765">
        <f>'Section 11 data country'!$J$37</f>
        <v>27.29</v>
      </c>
      <c r="O19" s="764">
        <f>'Section 11 data country'!$G$17</f>
        <v>1.6679999999999999</v>
      </c>
      <c r="P19" s="764">
        <f>'Section 11 data country'!$K$37</f>
        <v>99.477999999999994</v>
      </c>
      <c r="Q19" s="765">
        <f>'Section 11 data country'!$L$37</f>
        <v>12.59</v>
      </c>
      <c r="R19" s="764">
        <f>'Section 11 data country'!$H$17</f>
        <v>16.125</v>
      </c>
      <c r="S19" s="764">
        <f>'Section 11 data country'!$M$37</f>
        <v>90.569000000000003</v>
      </c>
      <c r="T19" s="765">
        <f>'Section 11 data country'!$N$37</f>
        <v>12.39</v>
      </c>
      <c r="U19" s="764">
        <f>'Section 11 data country'!$I$17</f>
        <v>6.2009999999999996</v>
      </c>
      <c r="V19" s="764">
        <f>'Section 11 data country'!$O$37</f>
        <v>136.179</v>
      </c>
      <c r="W19" s="765">
        <f>'Section 11 data country'!$P$37</f>
        <v>16.23</v>
      </c>
      <c r="X19" s="764">
        <f>'Section 11 data country'!$J$17</f>
        <v>1.621</v>
      </c>
      <c r="Y19" s="764">
        <f>'Section 11 data country'!$Q$37</f>
        <v>174.178</v>
      </c>
      <c r="Z19" s="765">
        <f>'Section 11 data country'!$R$37</f>
        <v>19.13</v>
      </c>
      <c r="AA19" s="764">
        <f>'Section 11 data country'!$K$17</f>
        <v>5.1280000000000001</v>
      </c>
      <c r="AB19" s="764">
        <f>'Section 11 data country'!$S$37</f>
        <v>143.429</v>
      </c>
      <c r="AC19" s="765">
        <f>'Section 11 data country'!$T$37</f>
        <v>14.01</v>
      </c>
      <c r="AD19" s="764">
        <f>'Section 11 data country'!$L$17</f>
        <v>2.6720000000000002</v>
      </c>
      <c r="AE19" s="764">
        <f>'Section 11 data country'!$U$37</f>
        <v>155.244</v>
      </c>
      <c r="AF19" s="765">
        <f>'Section 11 data country'!$V$37</f>
        <v>16.16</v>
      </c>
      <c r="AG19" s="764">
        <f>'Section 11 data country'!$M$17</f>
        <v>6.3620000000000001</v>
      </c>
      <c r="AH19" s="764">
        <f>'Section 11 data country'!$W$37</f>
        <v>140.435</v>
      </c>
      <c r="AI19" s="766">
        <f>'Section 11 data country'!$X$37</f>
        <v>19.27</v>
      </c>
    </row>
    <row r="20" spans="2:35" ht="15" customHeight="1" x14ac:dyDescent="0.2">
      <c r="B20" s="763" t="s">
        <v>294</v>
      </c>
      <c r="C20" s="764">
        <f>'Section 11 data country'!$C$18</f>
        <v>19.036000000000001</v>
      </c>
      <c r="D20" s="764">
        <f>'Section 11 data country'!$C$38</f>
        <v>148.99799999999999</v>
      </c>
      <c r="E20" s="765">
        <f>'Section 11 data country'!$D$38</f>
        <v>23.12</v>
      </c>
      <c r="F20" s="764">
        <f>'Section 11 data country'!$F$18</f>
        <v>8.5139999999999993</v>
      </c>
      <c r="G20" s="764">
        <f>'Section 11 data country'!$E$38</f>
        <v>175.642</v>
      </c>
      <c r="H20" s="765">
        <f>'Section 11 data country'!$F$38</f>
        <v>42.29</v>
      </c>
      <c r="I20" s="764">
        <f>'Section 11 data country'!$E$18</f>
        <v>15.96</v>
      </c>
      <c r="J20" s="764">
        <f>'Section 11 data country'!$G$38</f>
        <v>60.945</v>
      </c>
      <c r="K20" s="765">
        <f>'Section 11 data country'!$H$38</f>
        <v>20.43</v>
      </c>
      <c r="L20" s="764">
        <f>'Section 11 data country'!$F$18</f>
        <v>8.5139999999999993</v>
      </c>
      <c r="M20" s="764">
        <f>'Section 11 data country'!$I$38</f>
        <v>47.072000000000003</v>
      </c>
      <c r="N20" s="765">
        <f>'Section 11 data country'!$J$38</f>
        <v>18.809999999999999</v>
      </c>
      <c r="O20" s="764">
        <f>'Section 11 data country'!$G$18</f>
        <v>18.622</v>
      </c>
      <c r="P20" s="764">
        <f>'Section 11 data country'!$K$38</f>
        <v>66.308000000000007</v>
      </c>
      <c r="Q20" s="765">
        <f>'Section 11 data country'!$L$38</f>
        <v>28.15</v>
      </c>
      <c r="R20" s="764">
        <f>'Section 11 data country'!$H$18</f>
        <v>10.87</v>
      </c>
      <c r="S20" s="764">
        <f>'Section 11 data country'!$M$38</f>
        <v>62.664000000000001</v>
      </c>
      <c r="T20" s="765">
        <f>'Section 11 data country'!$N$38</f>
        <v>23.63</v>
      </c>
      <c r="U20" s="764">
        <f>'Section 11 data country'!$I$18</f>
        <v>23.564</v>
      </c>
      <c r="V20" s="764">
        <f>'Section 11 data country'!$O$38</f>
        <v>84.242000000000004</v>
      </c>
      <c r="W20" s="765">
        <f>'Section 11 data country'!$P$38</f>
        <v>23.06</v>
      </c>
      <c r="X20" s="764">
        <f>'Section 11 data country'!$J$18</f>
        <v>15.847</v>
      </c>
      <c r="Y20" s="764">
        <f>'Section 11 data country'!$Q$38</f>
        <v>62.595999999999997</v>
      </c>
      <c r="Z20" s="765">
        <f>'Section 11 data country'!$R$38</f>
        <v>10.81</v>
      </c>
      <c r="AA20" s="764">
        <f>'Section 11 data country'!$K$18</f>
        <v>19.018000000000001</v>
      </c>
      <c r="AB20" s="764">
        <f>'Section 11 data country'!$S$38</f>
        <v>70.582999999999998</v>
      </c>
      <c r="AC20" s="765">
        <f>'Section 11 data country'!$T$38</f>
        <v>11.55</v>
      </c>
      <c r="AD20" s="764">
        <f>'Section 11 data country'!$L$18</f>
        <v>12.138</v>
      </c>
      <c r="AE20" s="764">
        <f>'Section 11 data country'!$U$38</f>
        <v>83.888000000000005</v>
      </c>
      <c r="AF20" s="765">
        <f>'Section 11 data country'!$V$38</f>
        <v>20.27</v>
      </c>
      <c r="AG20" s="764">
        <f>'Section 11 data country'!$M$18</f>
        <v>22.643000000000001</v>
      </c>
      <c r="AH20" s="764">
        <f>'Section 11 data country'!$W$38</f>
        <v>71.281999999999996</v>
      </c>
      <c r="AI20" s="766">
        <f>'Section 11 data country'!$X$38</f>
        <v>19.93</v>
      </c>
    </row>
    <row r="21" spans="2:35" ht="15" customHeight="1" x14ac:dyDescent="0.2">
      <c r="B21" s="763" t="s">
        <v>295</v>
      </c>
      <c r="C21" s="764">
        <f>'Section 11 data country'!$C$19</f>
        <v>23.013000000000002</v>
      </c>
      <c r="D21" s="764">
        <f>'Section 11 data country'!$C$39</f>
        <v>359.38200000000001</v>
      </c>
      <c r="E21" s="765">
        <f>'Section 11 data country'!$D$39</f>
        <v>20.96</v>
      </c>
      <c r="F21" s="764">
        <f>'Section 11 data country'!$F$19</f>
        <v>18.113</v>
      </c>
      <c r="G21" s="764">
        <f>'Section 11 data country'!$E$39</f>
        <v>325.99099999999999</v>
      </c>
      <c r="H21" s="765">
        <f>'Section 11 data country'!$F$39</f>
        <v>16.95</v>
      </c>
      <c r="I21" s="764">
        <f>'Section 11 data country'!$E$19</f>
        <v>29.61</v>
      </c>
      <c r="J21" s="764">
        <f>'Section 11 data country'!$G$39</f>
        <v>184.98400000000001</v>
      </c>
      <c r="K21" s="765">
        <f>'Section 11 data country'!$H$39</f>
        <v>17.79</v>
      </c>
      <c r="L21" s="764">
        <f>'Section 11 data country'!$F$19</f>
        <v>18.113</v>
      </c>
      <c r="M21" s="764">
        <f>'Section 11 data country'!$I$39</f>
        <v>176.03299999999999</v>
      </c>
      <c r="N21" s="765">
        <f>'Section 11 data country'!$J$39</f>
        <v>18.670000000000002</v>
      </c>
      <c r="O21" s="764">
        <f>'Section 11 data country'!$G$19</f>
        <v>18.414000000000001</v>
      </c>
      <c r="P21" s="764">
        <f>'Section 11 data country'!$K$39</f>
        <v>145.39400000000001</v>
      </c>
      <c r="Q21" s="765">
        <f>'Section 11 data country'!$L$39</f>
        <v>22.95</v>
      </c>
      <c r="R21" s="764">
        <f>'Section 11 data country'!$H$19</f>
        <v>18.056999999999999</v>
      </c>
      <c r="S21" s="764">
        <f>'Section 11 data country'!$M$39</f>
        <v>93.040999999999997</v>
      </c>
      <c r="T21" s="765">
        <f>'Section 11 data country'!$N$39</f>
        <v>11.7</v>
      </c>
      <c r="U21" s="764">
        <f>'Section 11 data country'!$I$19</f>
        <v>45.112000000000002</v>
      </c>
      <c r="V21" s="764">
        <f>'Section 11 data country'!$O$39</f>
        <v>123.294</v>
      </c>
      <c r="W21" s="765">
        <f>'Section 11 data country'!$P$39</f>
        <v>23.08</v>
      </c>
      <c r="X21" s="764">
        <f>'Section 11 data country'!$J$19</f>
        <v>28.303999999999998</v>
      </c>
      <c r="Y21" s="764">
        <f>'Section 11 data country'!$Q$39</f>
        <v>157.60499999999999</v>
      </c>
      <c r="Z21" s="765">
        <f>'Section 11 data country'!$R$39</f>
        <v>23.49</v>
      </c>
      <c r="AA21" s="764">
        <f>'Section 11 data country'!$K$19</f>
        <v>28.565999999999999</v>
      </c>
      <c r="AB21" s="764">
        <f>'Section 11 data country'!$S$39</f>
        <v>138.49700000000001</v>
      </c>
      <c r="AC21" s="765">
        <f>'Section 11 data country'!$T$39</f>
        <v>12.36</v>
      </c>
      <c r="AD21" s="764">
        <f>'Section 11 data country'!$L$19</f>
        <v>29.603000000000002</v>
      </c>
      <c r="AE21" s="764">
        <f>'Section 11 data country'!$U$39</f>
        <v>148.553</v>
      </c>
      <c r="AF21" s="765">
        <f>'Section 11 data country'!$V$39</f>
        <v>17.54</v>
      </c>
      <c r="AG21" s="764">
        <f>'Section 11 data country'!$M$19</f>
        <v>36.796999999999997</v>
      </c>
      <c r="AH21" s="764">
        <f>'Section 11 data country'!$W$39</f>
        <v>112.062</v>
      </c>
      <c r="AI21" s="766">
        <f>'Section 11 data country'!$X$39</f>
        <v>12.19</v>
      </c>
    </row>
    <row r="22" spans="2:35" ht="15" customHeight="1" x14ac:dyDescent="0.2">
      <c r="B22" s="767" t="s">
        <v>296</v>
      </c>
      <c r="C22" s="768">
        <f>'Section 11 data country'!$C$20</f>
        <v>3.4529999999999998</v>
      </c>
      <c r="D22" s="768">
        <f>'Section 11 data country'!$C$40</f>
        <v>312.93900000000002</v>
      </c>
      <c r="E22" s="769">
        <f>'Section 11 data country'!$D$40</f>
        <v>17.11</v>
      </c>
      <c r="F22" s="768">
        <f>'Section 11 data country'!$F$20</f>
        <v>2.492</v>
      </c>
      <c r="G22" s="768">
        <f>'Section 11 data country'!$E$40</f>
        <v>230.13499999999999</v>
      </c>
      <c r="H22" s="769">
        <f>'Section 11 data country'!$F$40</f>
        <v>11.33</v>
      </c>
      <c r="I22" s="768">
        <f>'Section 11 data country'!$E$20</f>
        <v>4.0259999999999998</v>
      </c>
      <c r="J22" s="768">
        <f>'Section 11 data country'!$G$40</f>
        <v>132.29499999999999</v>
      </c>
      <c r="K22" s="769">
        <f>'Section 11 data country'!$H$40</f>
        <v>15.45</v>
      </c>
      <c r="L22" s="768">
        <f>'Section 11 data country'!$F$20</f>
        <v>2.492</v>
      </c>
      <c r="M22" s="768">
        <f>'Section 11 data country'!$I$40</f>
        <v>97.617000000000004</v>
      </c>
      <c r="N22" s="769">
        <f>'Section 11 data country'!$J$40</f>
        <v>15.35</v>
      </c>
      <c r="O22" s="768">
        <f>'Section 11 data country'!$G$20</f>
        <v>4.0460000000000003</v>
      </c>
      <c r="P22" s="768">
        <f>'Section 11 data country'!$K$40</f>
        <v>102.22799999999999</v>
      </c>
      <c r="Q22" s="769">
        <f>'Section 11 data country'!$L$40</f>
        <v>14.33</v>
      </c>
      <c r="R22" s="768">
        <f>'Section 11 data country'!$H$20</f>
        <v>3.82</v>
      </c>
      <c r="S22" s="768">
        <f>'Section 11 data country'!$M$40</f>
        <v>88.022999999999996</v>
      </c>
      <c r="T22" s="769">
        <f>'Section 11 data country'!$N$40</f>
        <v>11.9</v>
      </c>
      <c r="U22" s="768">
        <f>'Section 11 data country'!$I$20</f>
        <v>4.96</v>
      </c>
      <c r="V22" s="768">
        <f>'Section 11 data country'!$O$40</f>
        <v>133.364</v>
      </c>
      <c r="W22" s="769">
        <f>'Section 11 data country'!$P$40</f>
        <v>11.81</v>
      </c>
      <c r="X22" s="768">
        <f>'Section 11 data country'!$J$20</f>
        <v>4.1829999999999998</v>
      </c>
      <c r="Y22" s="768">
        <f>'Section 11 data country'!$Q$40</f>
        <v>111.53400000000001</v>
      </c>
      <c r="Z22" s="769">
        <f>'Section 11 data country'!$R$40</f>
        <v>11.53</v>
      </c>
      <c r="AA22" s="768">
        <f>'Section 11 data country'!$K$20</f>
        <v>5.048</v>
      </c>
      <c r="AB22" s="768">
        <f>'Section 11 data country'!$S$40</f>
        <v>143.5</v>
      </c>
      <c r="AC22" s="769">
        <f>'Section 11 data country'!$T$40</f>
        <v>14.39</v>
      </c>
      <c r="AD22" s="768">
        <f>'Section 11 data country'!$L$20</f>
        <v>8.9589999999999996</v>
      </c>
      <c r="AE22" s="768">
        <f>'Section 11 data country'!$U$40</f>
        <v>123.72199999999999</v>
      </c>
      <c r="AF22" s="769">
        <f>'Section 11 data country'!$V$40</f>
        <v>10.84</v>
      </c>
      <c r="AG22" s="768">
        <f>'Section 11 data country'!$M$20</f>
        <v>5.1870000000000003</v>
      </c>
      <c r="AH22" s="768">
        <f>'Section 11 data country'!$W$40</f>
        <v>151.726</v>
      </c>
      <c r="AI22" s="770">
        <f>'Section 11 data country'!$X$40</f>
        <v>11.05</v>
      </c>
    </row>
    <row r="25" spans="2:35" ht="15" customHeight="1" x14ac:dyDescent="0.2">
      <c r="B25" s="1109" t="s">
        <v>380</v>
      </c>
      <c r="C25" s="1089" t="s">
        <v>332</v>
      </c>
      <c r="D25" s="1089"/>
      <c r="E25" s="1089"/>
      <c r="F25" s="1089" t="s">
        <v>222</v>
      </c>
      <c r="G25" s="1089"/>
      <c r="H25" s="1018"/>
    </row>
    <row r="26" spans="2:35" ht="15" customHeight="1" x14ac:dyDescent="0.2">
      <c r="B26" s="1110"/>
      <c r="C26" s="732" t="s">
        <v>78</v>
      </c>
      <c r="D26" s="1091" t="s">
        <v>79</v>
      </c>
      <c r="E26" s="1091"/>
      <c r="F26" s="898" t="s">
        <v>78</v>
      </c>
      <c r="G26" s="1091" t="s">
        <v>79</v>
      </c>
      <c r="H26" s="1013"/>
    </row>
    <row r="27" spans="2:35" ht="30" customHeight="1" x14ac:dyDescent="0.2">
      <c r="B27" s="1110"/>
      <c r="C27" s="1090" t="s">
        <v>326</v>
      </c>
      <c r="D27" s="1090"/>
      <c r="E27" s="130" t="s">
        <v>82</v>
      </c>
      <c r="F27" s="1090" t="s">
        <v>326</v>
      </c>
      <c r="G27" s="1090"/>
      <c r="H27" s="131" t="s">
        <v>82</v>
      </c>
    </row>
    <row r="28" spans="2:35" ht="15" customHeight="1" x14ac:dyDescent="0.2">
      <c r="B28" s="759" t="str">
        <f>Index!$B$4</f>
        <v>England</v>
      </c>
      <c r="C28" s="760">
        <f>'Section 11 data country'!$C$6</f>
        <v>71.779000000000011</v>
      </c>
      <c r="D28" s="760">
        <f>'Section 11 data country'!$C$26</f>
        <v>2957.9369999999999</v>
      </c>
      <c r="E28" s="761">
        <f>'Section 11 data country'!$D$26</f>
        <v>4.9175326735365372</v>
      </c>
      <c r="F28" s="760">
        <f>'Section 11 data country'!$F$6</f>
        <v>74.778000000000006</v>
      </c>
      <c r="G28" s="760">
        <f>'Section 11 data country'!$E$26</f>
        <v>3264.904</v>
      </c>
      <c r="H28" s="762">
        <f>'Section 11 data country'!$F$26</f>
        <v>4.7723267050589984</v>
      </c>
    </row>
    <row r="29" spans="2:35" ht="15" customHeight="1" x14ac:dyDescent="0.2">
      <c r="B29" s="763" t="s">
        <v>286</v>
      </c>
      <c r="C29" s="764">
        <f>'Section 11 data country'!$C$7</f>
        <v>0.20200000000000001</v>
      </c>
      <c r="D29" s="764">
        <f>'Section 11 data country'!$C$27</f>
        <v>153.881</v>
      </c>
      <c r="E29" s="765">
        <f>'Section 11 data country'!$D$27</f>
        <v>16.690000000000001</v>
      </c>
      <c r="F29" s="764">
        <f>'Section 11 data country'!$F$7</f>
        <v>0.17199999999999999</v>
      </c>
      <c r="G29" s="764">
        <f>'Section 11 data country'!$E$27</f>
        <v>167.83799999999999</v>
      </c>
      <c r="H29" s="766">
        <f>'Section 11 data country'!$F$27</f>
        <v>16.510000000000002</v>
      </c>
    </row>
    <row r="30" spans="2:35" ht="15" customHeight="1" x14ac:dyDescent="0.2">
      <c r="B30" s="763" t="s">
        <v>298</v>
      </c>
      <c r="C30" s="764">
        <f>'Section 11 data country'!$C$8</f>
        <v>1.1779999999999999</v>
      </c>
      <c r="D30" s="764">
        <f>'Section 11 data country'!$C$28</f>
        <v>76.659000000000006</v>
      </c>
      <c r="E30" s="765">
        <f>'Section 11 data country'!$D$28</f>
        <v>23.21</v>
      </c>
      <c r="F30" s="764">
        <f>'Section 11 data country'!$F$8</f>
        <v>1.58</v>
      </c>
      <c r="G30" s="764">
        <f>'Section 11 data country'!$E$28</f>
        <v>71.724999999999994</v>
      </c>
      <c r="H30" s="766">
        <f>'Section 11 data country'!$F$28</f>
        <v>17.27</v>
      </c>
    </row>
    <row r="31" spans="2:35" ht="15" customHeight="1" x14ac:dyDescent="0.2">
      <c r="B31" s="763" t="s">
        <v>287</v>
      </c>
      <c r="C31" s="764">
        <f>'Section 11 data country'!$C$9</f>
        <v>2.6280000000000001</v>
      </c>
      <c r="D31" s="764">
        <f>'Section 11 data country'!$C$29</f>
        <v>149.923</v>
      </c>
      <c r="E31" s="765">
        <f>'Section 11 data country'!$D$29</f>
        <v>32.81</v>
      </c>
      <c r="F31" s="764">
        <f>'Section 11 data country'!$F$9</f>
        <v>5.0279999999999996</v>
      </c>
      <c r="G31" s="764">
        <f>'Section 11 data country'!$E$29</f>
        <v>114.81699999999999</v>
      </c>
      <c r="H31" s="766">
        <f>'Section 11 data country'!$F$29</f>
        <v>20.92</v>
      </c>
    </row>
    <row r="32" spans="2:35" ht="15" customHeight="1" x14ac:dyDescent="0.2">
      <c r="B32" s="763" t="s">
        <v>288</v>
      </c>
      <c r="C32" s="764">
        <f>'Section 11 data country'!$C$10</f>
        <v>0.95499999999999996</v>
      </c>
      <c r="D32" s="764">
        <f>'Section 11 data country'!$C$30</f>
        <v>147.863</v>
      </c>
      <c r="E32" s="765">
        <f>'Section 11 data country'!$D$30</f>
        <v>29.3</v>
      </c>
      <c r="F32" s="764">
        <f>'Section 11 data country'!$F$10</f>
        <v>4.6989999999999998</v>
      </c>
      <c r="G32" s="764">
        <f>'Section 11 data country'!$E$30</f>
        <v>109.11799999999999</v>
      </c>
      <c r="H32" s="766">
        <f>'Section 11 data country'!$F$30</f>
        <v>20.6</v>
      </c>
    </row>
    <row r="33" spans="2:8" ht="15" customHeight="1" x14ac:dyDescent="0.2">
      <c r="B33" s="763" t="s">
        <v>301</v>
      </c>
      <c r="C33" s="764">
        <f>'Section 11 data country'!$C$11</f>
        <v>0.19800000000000001</v>
      </c>
      <c r="D33" s="764">
        <f>'Section 11 data country'!$C$31</f>
        <v>240.05</v>
      </c>
      <c r="E33" s="765">
        <f>'Section 11 data country'!$D$31</f>
        <v>42.59</v>
      </c>
      <c r="F33" s="764">
        <f>'Section 11 data country'!$F$11</f>
        <v>0.29399999999999998</v>
      </c>
      <c r="G33" s="764">
        <f>'Section 11 data country'!$E$31</f>
        <v>115.809</v>
      </c>
      <c r="H33" s="766">
        <f>'Section 11 data country'!$F$31</f>
        <v>41.61</v>
      </c>
    </row>
    <row r="34" spans="2:8" ht="15" customHeight="1" x14ac:dyDescent="0.2">
      <c r="B34" s="763" t="s">
        <v>302</v>
      </c>
      <c r="C34" s="764">
        <f>'Section 11 data country'!$C$12</f>
        <v>0.13</v>
      </c>
      <c r="D34" s="764">
        <f>'Section 11 data country'!$C$32</f>
        <v>63.548999999999999</v>
      </c>
      <c r="E34" s="765">
        <f>'Section 11 data country'!$D$32</f>
        <v>53.95</v>
      </c>
      <c r="F34" s="764">
        <f>'Section 11 data country'!$F$12</f>
        <v>0.17799999999999999</v>
      </c>
      <c r="G34" s="764">
        <f>'Section 11 data country'!$E$32</f>
        <v>48.540999999999997</v>
      </c>
      <c r="H34" s="766">
        <f>'Section 11 data country'!$F$32</f>
        <v>34.93</v>
      </c>
    </row>
    <row r="35" spans="2:8" ht="15" customHeight="1" x14ac:dyDescent="0.2">
      <c r="B35" s="763" t="s">
        <v>303</v>
      </c>
      <c r="C35" s="764">
        <f>'Section 11 data country'!$C$13</f>
        <v>0.82199999999999995</v>
      </c>
      <c r="D35" s="764">
        <f>'Section 11 data country'!$C$33</f>
        <v>175.386</v>
      </c>
      <c r="E35" s="765">
        <f>'Section 11 data country'!$D$33</f>
        <v>16.48</v>
      </c>
      <c r="F35" s="764">
        <f>'Section 11 data country'!$F$13</f>
        <v>6.3440000000000003</v>
      </c>
      <c r="G35" s="764">
        <f>'Section 11 data country'!$E$33</f>
        <v>181.68</v>
      </c>
      <c r="H35" s="766">
        <f>'Section 11 data country'!$F$33</f>
        <v>18.72</v>
      </c>
    </row>
    <row r="36" spans="2:8" ht="15" customHeight="1" x14ac:dyDescent="0.2">
      <c r="B36" s="763" t="s">
        <v>304</v>
      </c>
      <c r="C36" s="764">
        <f>'Section 11 data country'!$C$14</f>
        <v>1.175</v>
      </c>
      <c r="D36" s="764">
        <f>'Section 11 data country'!$C$34</f>
        <v>173.88300000000001</v>
      </c>
      <c r="E36" s="765">
        <f>'Section 11 data country'!$D$34</f>
        <v>37.08</v>
      </c>
      <c r="F36" s="764">
        <f>'Section 11 data country'!$F$14</f>
        <v>3.371</v>
      </c>
      <c r="G36" s="764">
        <f>'Section 11 data country'!$E$34</f>
        <v>105.358</v>
      </c>
      <c r="H36" s="766">
        <f>'Section 11 data country'!$F$34</f>
        <v>21.07</v>
      </c>
    </row>
    <row r="37" spans="2:8" ht="15" customHeight="1" x14ac:dyDescent="0.2">
      <c r="B37" s="763" t="s">
        <v>291</v>
      </c>
      <c r="C37" s="764">
        <f>'Section 11 data country'!$C$15</f>
        <v>10.935</v>
      </c>
      <c r="D37" s="764">
        <f>'Section 11 data country'!$C$35</f>
        <v>100.90900000000001</v>
      </c>
      <c r="E37" s="765">
        <f>'Section 11 data country'!$D$35</f>
        <v>27.61</v>
      </c>
      <c r="F37" s="764">
        <f>'Section 11 data country'!$F$15</f>
        <v>8.0039999999999996</v>
      </c>
      <c r="G37" s="764">
        <f>'Section 11 data country'!$E$35</f>
        <v>79.908000000000001</v>
      </c>
      <c r="H37" s="766">
        <f>'Section 11 data country'!$F$35</f>
        <v>25.96</v>
      </c>
    </row>
    <row r="38" spans="2:8" ht="15" customHeight="1" x14ac:dyDescent="0.2">
      <c r="B38" s="763" t="s">
        <v>292</v>
      </c>
      <c r="C38" s="764">
        <f>'Section 11 data country'!$C$16</f>
        <v>7.4480000000000004</v>
      </c>
      <c r="D38" s="764">
        <f>'Section 11 data country'!$C$36</f>
        <v>235.62200000000001</v>
      </c>
      <c r="E38" s="765">
        <f>'Section 11 data country'!$D$36</f>
        <v>14.74</v>
      </c>
      <c r="F38" s="764">
        <f>'Section 11 data country'!$F$16</f>
        <v>15.696</v>
      </c>
      <c r="G38" s="764">
        <f>'Section 11 data country'!$E$36</f>
        <v>207.261</v>
      </c>
      <c r="H38" s="766">
        <f>'Section 11 data country'!$F$36</f>
        <v>14.37</v>
      </c>
    </row>
    <row r="39" spans="2:8" ht="15" customHeight="1" x14ac:dyDescent="0.2">
      <c r="B39" s="763" t="s">
        <v>293</v>
      </c>
      <c r="C39" s="764">
        <f>'Section 11 data country'!$C$17</f>
        <v>0.53100000000000003</v>
      </c>
      <c r="D39" s="764">
        <f>'Section 11 data country'!$C$37</f>
        <v>272.06400000000002</v>
      </c>
      <c r="E39" s="765">
        <f>'Section 11 data country'!$D$37</f>
        <v>15.85</v>
      </c>
      <c r="F39" s="764">
        <f>'Section 11 data country'!$F$17</f>
        <v>0.58699999999999997</v>
      </c>
      <c r="G39" s="764">
        <f>'Section 11 data country'!$E$37</f>
        <v>253.17</v>
      </c>
      <c r="H39" s="766">
        <f>'Section 11 data country'!$F$37</f>
        <v>14.51</v>
      </c>
    </row>
    <row r="40" spans="2:8" ht="15" customHeight="1" x14ac:dyDescent="0.2">
      <c r="B40" s="763" t="s">
        <v>294</v>
      </c>
      <c r="C40" s="764">
        <f>'Section 11 data country'!$C$18</f>
        <v>19.036000000000001</v>
      </c>
      <c r="D40" s="764">
        <f>'Section 11 data country'!$C$38</f>
        <v>148.99799999999999</v>
      </c>
      <c r="E40" s="765">
        <f>'Section 11 data country'!$D$38</f>
        <v>23.12</v>
      </c>
      <c r="F40" s="764">
        <f>'Section 11 data country'!$F$18</f>
        <v>8.5139999999999993</v>
      </c>
      <c r="G40" s="764">
        <f>'Section 11 data country'!$E$38</f>
        <v>175.642</v>
      </c>
      <c r="H40" s="766">
        <f>'Section 11 data country'!$F$38</f>
        <v>42.29</v>
      </c>
    </row>
    <row r="41" spans="2:8" ht="15" customHeight="1" x14ac:dyDescent="0.2">
      <c r="B41" s="763" t="s">
        <v>295</v>
      </c>
      <c r="C41" s="764">
        <f>'Section 11 data country'!$C$19</f>
        <v>23.013000000000002</v>
      </c>
      <c r="D41" s="764">
        <f>'Section 11 data country'!$C$39</f>
        <v>359.38200000000001</v>
      </c>
      <c r="E41" s="765">
        <f>'Section 11 data country'!$D$39</f>
        <v>20.96</v>
      </c>
      <c r="F41" s="764">
        <f>'Section 11 data country'!$F$19</f>
        <v>18.113</v>
      </c>
      <c r="G41" s="764">
        <f>'Section 11 data country'!$E$39</f>
        <v>325.99099999999999</v>
      </c>
      <c r="H41" s="766">
        <f>'Section 11 data country'!$F$39</f>
        <v>16.95</v>
      </c>
    </row>
    <row r="42" spans="2:8" ht="15" customHeight="1" x14ac:dyDescent="0.2">
      <c r="B42" s="767" t="s">
        <v>296</v>
      </c>
      <c r="C42" s="768">
        <f>'Section 11 data country'!$C$20</f>
        <v>3.4529999999999998</v>
      </c>
      <c r="D42" s="768">
        <f>'Section 11 data country'!$C$40</f>
        <v>312.93900000000002</v>
      </c>
      <c r="E42" s="769">
        <f>'Section 11 data country'!$D$40</f>
        <v>17.11</v>
      </c>
      <c r="F42" s="768">
        <f>'Section 11 data country'!$F$20</f>
        <v>2.492</v>
      </c>
      <c r="G42" s="768">
        <f>'Section 11 data country'!$E$40</f>
        <v>230.13499999999999</v>
      </c>
      <c r="H42" s="770">
        <f>'Section 11 data country'!$F$40</f>
        <v>11.33</v>
      </c>
    </row>
    <row r="45" spans="2:8" ht="15" customHeight="1" x14ac:dyDescent="0.2">
      <c r="B45" s="1109" t="s">
        <v>380</v>
      </c>
      <c r="C45" s="1089" t="s">
        <v>225</v>
      </c>
      <c r="D45" s="1089"/>
      <c r="E45" s="1089"/>
      <c r="F45" s="1089" t="s">
        <v>226</v>
      </c>
      <c r="G45" s="1089"/>
      <c r="H45" s="1018"/>
    </row>
    <row r="46" spans="2:8" ht="15" customHeight="1" x14ac:dyDescent="0.2">
      <c r="B46" s="1110"/>
      <c r="C46" s="732" t="s">
        <v>78</v>
      </c>
      <c r="D46" s="1091" t="s">
        <v>79</v>
      </c>
      <c r="E46" s="1091"/>
      <c r="F46" s="732" t="s">
        <v>78</v>
      </c>
      <c r="G46" s="1091" t="s">
        <v>79</v>
      </c>
      <c r="H46" s="1013"/>
    </row>
    <row r="47" spans="2:8" ht="30" customHeight="1" x14ac:dyDescent="0.2">
      <c r="B47" s="1110"/>
      <c r="C47" s="1090" t="s">
        <v>326</v>
      </c>
      <c r="D47" s="1090"/>
      <c r="E47" s="130" t="s">
        <v>82</v>
      </c>
      <c r="F47" s="1090" t="s">
        <v>326</v>
      </c>
      <c r="G47" s="1090"/>
      <c r="H47" s="131" t="s">
        <v>82</v>
      </c>
    </row>
    <row r="48" spans="2:8" ht="15" customHeight="1" x14ac:dyDescent="0.2">
      <c r="B48" s="759" t="str">
        <f>Index!$B$4</f>
        <v>England</v>
      </c>
      <c r="C48" s="760">
        <f>'Section 11 data country'!$E$6</f>
        <v>78.750999999999991</v>
      </c>
      <c r="D48" s="760">
        <f>'Section 11 data country'!$G$26</f>
        <v>2956.4490000000001</v>
      </c>
      <c r="E48" s="761">
        <f>'Section 11 data country'!$H$26</f>
        <v>5.0877422572868625</v>
      </c>
      <c r="F48" s="760">
        <f>'Section 11 data country'!$F$6</f>
        <v>74.778000000000006</v>
      </c>
      <c r="G48" s="760">
        <f>'Section 11 data country'!$I$26</f>
        <v>3052.6990000000001</v>
      </c>
      <c r="H48" s="762">
        <f>'Section 11 data country'!$J$26</f>
        <v>5.1812754658331821</v>
      </c>
    </row>
    <row r="49" spans="2:8" ht="15" customHeight="1" x14ac:dyDescent="0.2">
      <c r="B49" s="763" t="s">
        <v>286</v>
      </c>
      <c r="C49" s="764">
        <f>'Section 11 data country'!$E$7</f>
        <v>0.27700000000000002</v>
      </c>
      <c r="D49" s="764">
        <f>'Section 11 data country'!$G$27</f>
        <v>61.006</v>
      </c>
      <c r="E49" s="765">
        <f>'Section 11 data country'!$H$27</f>
        <v>24.92</v>
      </c>
      <c r="F49" s="764">
        <f>'Section 11 data country'!$F$7</f>
        <v>0.17199999999999999</v>
      </c>
      <c r="G49" s="764">
        <f>'Section 11 data country'!$I$27</f>
        <v>94.503</v>
      </c>
      <c r="H49" s="766">
        <f>'Section 11 data country'!$J$27</f>
        <v>31.67</v>
      </c>
    </row>
    <row r="50" spans="2:8" ht="15" customHeight="1" x14ac:dyDescent="0.2">
      <c r="B50" s="763" t="s">
        <v>298</v>
      </c>
      <c r="C50" s="764">
        <f>'Section 11 data country'!$E$8</f>
        <v>2.0339999999999998</v>
      </c>
      <c r="D50" s="764">
        <f>'Section 11 data country'!$G$28</f>
        <v>17.383749999999999</v>
      </c>
      <c r="E50" s="765">
        <f>'Section 11 data country'!$H$28</f>
        <v>23.72</v>
      </c>
      <c r="F50" s="764">
        <f>'Section 11 data country'!$F$8</f>
        <v>1.58</v>
      </c>
      <c r="G50" s="764">
        <f>'Section 11 data country'!$I$28</f>
        <v>54.444000000000003</v>
      </c>
      <c r="H50" s="766">
        <f>'Section 11 data country'!$J$28</f>
        <v>17.68</v>
      </c>
    </row>
    <row r="51" spans="2:8" ht="15" customHeight="1" x14ac:dyDescent="0.2">
      <c r="B51" s="763" t="s">
        <v>287</v>
      </c>
      <c r="C51" s="764">
        <f>'Section 11 data country'!$E$9</f>
        <v>2.0299999999999998</v>
      </c>
      <c r="D51" s="764">
        <f>'Section 11 data country'!$G$29</f>
        <v>95.477000000000004</v>
      </c>
      <c r="E51" s="765">
        <f>'Section 11 data country'!$H$29</f>
        <v>24.78</v>
      </c>
      <c r="F51" s="764">
        <f>'Section 11 data country'!$F$9</f>
        <v>5.0279999999999996</v>
      </c>
      <c r="G51" s="764">
        <f>'Section 11 data country'!$I$29</f>
        <v>44.831000000000003</v>
      </c>
      <c r="H51" s="766">
        <f>'Section 11 data country'!$J$29</f>
        <v>17.690000000000001</v>
      </c>
    </row>
    <row r="52" spans="2:8" ht="15" customHeight="1" x14ac:dyDescent="0.2">
      <c r="B52" s="763" t="s">
        <v>288</v>
      </c>
      <c r="C52" s="764">
        <f>'Section 11 data country'!$E$10</f>
        <v>1.861</v>
      </c>
      <c r="D52" s="764">
        <f>'Section 11 data country'!$G$30</f>
        <v>76.44</v>
      </c>
      <c r="E52" s="765">
        <f>'Section 11 data country'!$H$30</f>
        <v>29.69</v>
      </c>
      <c r="F52" s="764">
        <f>'Section 11 data country'!$F$10</f>
        <v>4.6989999999999998</v>
      </c>
      <c r="G52" s="764">
        <f>'Section 11 data country'!$I$30</f>
        <v>76.94</v>
      </c>
      <c r="H52" s="766">
        <f>'Section 11 data country'!$J$30</f>
        <v>32.71</v>
      </c>
    </row>
    <row r="53" spans="2:8" ht="15" customHeight="1" x14ac:dyDescent="0.2">
      <c r="B53" s="763" t="s">
        <v>301</v>
      </c>
      <c r="C53" s="764">
        <f>'Section 11 data country'!$E$11</f>
        <v>0.24199999999999999</v>
      </c>
      <c r="D53" s="764">
        <f>'Section 11 data country'!$G$31</f>
        <v>26.077999999999999</v>
      </c>
      <c r="E53" s="765">
        <f>'Section 11 data country'!$H$31</f>
        <v>27.12</v>
      </c>
      <c r="F53" s="764">
        <f>'Section 11 data country'!$F$11</f>
        <v>0.29399999999999998</v>
      </c>
      <c r="G53" s="764">
        <f>'Section 11 data country'!$I$31</f>
        <v>43.500999999999998</v>
      </c>
      <c r="H53" s="766">
        <f>'Section 11 data country'!$J$31</f>
        <v>49.3</v>
      </c>
    </row>
    <row r="54" spans="2:8" ht="15" customHeight="1" x14ac:dyDescent="0.2">
      <c r="B54" s="763" t="s">
        <v>302</v>
      </c>
      <c r="C54" s="764">
        <f>'Section 11 data country'!$E$12</f>
        <v>0.129</v>
      </c>
      <c r="D54" s="764">
        <f>'Section 11 data country'!$G$32</f>
        <v>21.111999999999998</v>
      </c>
      <c r="E54" s="765">
        <f>'Section 11 data country'!$H$32</f>
        <v>30.32</v>
      </c>
      <c r="F54" s="764">
        <f>'Section 11 data country'!$F$12</f>
        <v>0.17799999999999999</v>
      </c>
      <c r="G54" s="764">
        <f>'Section 11 data country'!$I$32</f>
        <v>20.292000000000002</v>
      </c>
      <c r="H54" s="766">
        <f>'Section 11 data country'!$J$32</f>
        <v>31.74</v>
      </c>
    </row>
    <row r="55" spans="2:8" ht="15" customHeight="1" x14ac:dyDescent="0.2">
      <c r="B55" s="763" t="s">
        <v>303</v>
      </c>
      <c r="C55" s="764">
        <f>'Section 11 data country'!$E$13</f>
        <v>1.6879999999999999</v>
      </c>
      <c r="D55" s="764">
        <f>'Section 11 data country'!$G$33</f>
        <v>153.43700000000001</v>
      </c>
      <c r="E55" s="765">
        <f>'Section 11 data country'!$H$33</f>
        <v>16.190000000000001</v>
      </c>
      <c r="F55" s="764">
        <f>'Section 11 data country'!$F$13</f>
        <v>6.3440000000000003</v>
      </c>
      <c r="G55" s="764">
        <f>'Section 11 data country'!$I$33</f>
        <v>132.709</v>
      </c>
      <c r="H55" s="766">
        <f>'Section 11 data country'!$J$33</f>
        <v>23.23</v>
      </c>
    </row>
    <row r="56" spans="2:8" ht="15" customHeight="1" x14ac:dyDescent="0.2">
      <c r="B56" s="763" t="s">
        <v>304</v>
      </c>
      <c r="C56" s="764">
        <f>'Section 11 data country'!$E$14</f>
        <v>6.3440000000000003</v>
      </c>
      <c r="D56" s="764">
        <f>'Section 11 data country'!$G$34</f>
        <v>55.807000000000002</v>
      </c>
      <c r="E56" s="765">
        <f>'Section 11 data country'!$H$34</f>
        <v>25.54</v>
      </c>
      <c r="F56" s="764">
        <f>'Section 11 data country'!$F$14</f>
        <v>3.371</v>
      </c>
      <c r="G56" s="764">
        <f>'Section 11 data country'!$I$34</f>
        <v>32.44</v>
      </c>
      <c r="H56" s="766">
        <f>'Section 11 data country'!$J$34</f>
        <v>22.84</v>
      </c>
    </row>
    <row r="57" spans="2:8" ht="15" customHeight="1" x14ac:dyDescent="0.2">
      <c r="B57" s="763" t="s">
        <v>291</v>
      </c>
      <c r="C57" s="764">
        <f>'Section 11 data country'!$E$15</f>
        <v>11.222</v>
      </c>
      <c r="D57" s="764">
        <f>'Section 11 data country'!$G$35</f>
        <v>39.039000000000001</v>
      </c>
      <c r="E57" s="765">
        <f>'Section 11 data country'!$H$35</f>
        <v>26.68</v>
      </c>
      <c r="F57" s="764">
        <f>'Section 11 data country'!$F$15</f>
        <v>8.0039999999999996</v>
      </c>
      <c r="G57" s="764">
        <f>'Section 11 data country'!$I$35</f>
        <v>50.837000000000003</v>
      </c>
      <c r="H57" s="766">
        <f>'Section 11 data country'!$J$35</f>
        <v>31.47</v>
      </c>
    </row>
    <row r="58" spans="2:8" ht="15" customHeight="1" x14ac:dyDescent="0.2">
      <c r="B58" s="763" t="s">
        <v>292</v>
      </c>
      <c r="C58" s="764">
        <f>'Section 11 data country'!$E$16</f>
        <v>8.7769999999999992</v>
      </c>
      <c r="D58" s="764">
        <f>'Section 11 data country'!$G$36</f>
        <v>102.551</v>
      </c>
      <c r="E58" s="765">
        <f>'Section 11 data country'!$H$36</f>
        <v>16.04</v>
      </c>
      <c r="F58" s="764">
        <f>'Section 11 data country'!$F$16</f>
        <v>15.696</v>
      </c>
      <c r="G58" s="764">
        <f>'Section 11 data country'!$I$36</f>
        <v>69.957999999999998</v>
      </c>
      <c r="H58" s="766">
        <f>'Section 11 data country'!$J$36</f>
        <v>14.4</v>
      </c>
    </row>
    <row r="59" spans="2:8" ht="15" customHeight="1" x14ac:dyDescent="0.2">
      <c r="B59" s="763" t="s">
        <v>293</v>
      </c>
      <c r="C59" s="764">
        <f>'Section 11 data country'!$E$17</f>
        <v>0.51900000000000002</v>
      </c>
      <c r="D59" s="764">
        <f>'Section 11 data country'!$G$37</f>
        <v>136.49100000000001</v>
      </c>
      <c r="E59" s="765">
        <f>'Section 11 data country'!$H$37</f>
        <v>18.68</v>
      </c>
      <c r="F59" s="764">
        <f>'Section 11 data country'!$F$17</f>
        <v>0.58699999999999997</v>
      </c>
      <c r="G59" s="764">
        <f>'Section 11 data country'!$I$37</f>
        <v>157.709</v>
      </c>
      <c r="H59" s="766">
        <f>'Section 11 data country'!$J$37</f>
        <v>27.29</v>
      </c>
    </row>
    <row r="60" spans="2:8" ht="15" customHeight="1" x14ac:dyDescent="0.2">
      <c r="B60" s="763" t="s">
        <v>294</v>
      </c>
      <c r="C60" s="764">
        <f>'Section 11 data country'!$E$18</f>
        <v>15.96</v>
      </c>
      <c r="D60" s="764">
        <f>'Section 11 data country'!$G$38</f>
        <v>60.945</v>
      </c>
      <c r="E60" s="765">
        <f>'Section 11 data country'!$H$38</f>
        <v>20.43</v>
      </c>
      <c r="F60" s="764">
        <f>'Section 11 data country'!$F$18</f>
        <v>8.5139999999999993</v>
      </c>
      <c r="G60" s="764">
        <f>'Section 11 data country'!$I$38</f>
        <v>47.072000000000003</v>
      </c>
      <c r="H60" s="766">
        <f>'Section 11 data country'!$J$38</f>
        <v>18.809999999999999</v>
      </c>
    </row>
    <row r="61" spans="2:8" ht="15" customHeight="1" x14ac:dyDescent="0.2">
      <c r="B61" s="763" t="s">
        <v>295</v>
      </c>
      <c r="C61" s="764">
        <f>'Section 11 data country'!$E$19</f>
        <v>29.61</v>
      </c>
      <c r="D61" s="764">
        <f>'Section 11 data country'!$G$39</f>
        <v>184.98400000000001</v>
      </c>
      <c r="E61" s="765">
        <f>'Section 11 data country'!$H$39</f>
        <v>17.79</v>
      </c>
      <c r="F61" s="764">
        <f>'Section 11 data country'!$F$19</f>
        <v>18.113</v>
      </c>
      <c r="G61" s="764">
        <f>'Section 11 data country'!$I$39</f>
        <v>176.03299999999999</v>
      </c>
      <c r="H61" s="766">
        <f>'Section 11 data country'!$J$39</f>
        <v>18.670000000000002</v>
      </c>
    </row>
    <row r="62" spans="2:8" ht="15" customHeight="1" x14ac:dyDescent="0.2">
      <c r="B62" s="767" t="s">
        <v>296</v>
      </c>
      <c r="C62" s="768">
        <f>'Section 11 data country'!$E$20</f>
        <v>4.0259999999999998</v>
      </c>
      <c r="D62" s="768">
        <f>'Section 11 data country'!$G$40</f>
        <v>132.29499999999999</v>
      </c>
      <c r="E62" s="769">
        <f>'Section 11 data country'!$H$40</f>
        <v>15.45</v>
      </c>
      <c r="F62" s="768">
        <f>'Section 11 data country'!$F$20</f>
        <v>2.492</v>
      </c>
      <c r="G62" s="768">
        <f>'Section 11 data country'!$I$40</f>
        <v>97.617000000000004</v>
      </c>
      <c r="H62" s="770">
        <f>'Section 11 data country'!$J$40</f>
        <v>15.35</v>
      </c>
    </row>
    <row r="65" spans="2:8" ht="15" customHeight="1" x14ac:dyDescent="0.2">
      <c r="B65" s="1109" t="s">
        <v>380</v>
      </c>
      <c r="C65" s="1089" t="s">
        <v>227</v>
      </c>
      <c r="D65" s="1089"/>
      <c r="E65" s="1089"/>
      <c r="F65" s="1089" t="s">
        <v>228</v>
      </c>
      <c r="G65" s="1089"/>
      <c r="H65" s="1018"/>
    </row>
    <row r="66" spans="2:8" ht="15" customHeight="1" x14ac:dyDescent="0.2">
      <c r="B66" s="1110"/>
      <c r="C66" s="732" t="s">
        <v>78</v>
      </c>
      <c r="D66" s="1091" t="s">
        <v>79</v>
      </c>
      <c r="E66" s="1091"/>
      <c r="F66" s="732" t="s">
        <v>78</v>
      </c>
      <c r="G66" s="1091" t="s">
        <v>79</v>
      </c>
      <c r="H66" s="1013"/>
    </row>
    <row r="67" spans="2:8" ht="30" customHeight="1" x14ac:dyDescent="0.2">
      <c r="B67" s="1110"/>
      <c r="C67" s="1090" t="s">
        <v>326</v>
      </c>
      <c r="D67" s="1090"/>
      <c r="E67" s="130" t="s">
        <v>82</v>
      </c>
      <c r="F67" s="1090" t="s">
        <v>326</v>
      </c>
      <c r="G67" s="1090"/>
      <c r="H67" s="131" t="s">
        <v>82</v>
      </c>
    </row>
    <row r="68" spans="2:8" ht="15" customHeight="1" x14ac:dyDescent="0.2">
      <c r="B68" s="759" t="str">
        <f>Index!$B$4</f>
        <v>England</v>
      </c>
      <c r="C68" s="760">
        <f>'Section 11 data country'!$G$6</f>
        <v>89.126000000000005</v>
      </c>
      <c r="D68" s="760">
        <f>'Section 11 data country'!$K$26</f>
        <v>2910.4050000000002</v>
      </c>
      <c r="E68" s="761">
        <f>'Section 11 data country'!$L$26</f>
        <v>5.8810833804531484</v>
      </c>
      <c r="F68" s="760">
        <f>'Section 11 data country'!$H$6</f>
        <v>139.09399999999999</v>
      </c>
      <c r="G68" s="760">
        <f>'Section 11 data country'!$M$26</f>
        <v>2272.7440000000001</v>
      </c>
      <c r="H68" s="762">
        <f>'Section 11 data country'!$N$26</f>
        <v>6.3794291254089313</v>
      </c>
    </row>
    <row r="69" spans="2:8" ht="15" customHeight="1" x14ac:dyDescent="0.2">
      <c r="B69" s="763" t="s">
        <v>286</v>
      </c>
      <c r="C69" s="764">
        <f>'Section 11 data country'!$G$7</f>
        <v>0.44</v>
      </c>
      <c r="D69" s="764">
        <f>'Section 11 data country'!$K$27</f>
        <v>41.994</v>
      </c>
      <c r="E69" s="765">
        <f>'Section 11 data country'!$L$27</f>
        <v>25.46</v>
      </c>
      <c r="F69" s="764">
        <f>'Section 11 data country'!$H$7</f>
        <v>0.89700000000000002</v>
      </c>
      <c r="G69" s="764">
        <f>'Section 11 data country'!$M$27</f>
        <v>46.180999999999997</v>
      </c>
      <c r="H69" s="766">
        <f>'Section 11 data country'!$N$27</f>
        <v>15.12</v>
      </c>
    </row>
    <row r="70" spans="2:8" ht="15" customHeight="1" x14ac:dyDescent="0.2">
      <c r="B70" s="763" t="s">
        <v>298</v>
      </c>
      <c r="C70" s="764">
        <f>'Section 11 data country'!$G$8</f>
        <v>3.5289999999999999</v>
      </c>
      <c r="D70" s="764">
        <f>'Section 11 data country'!$K$28</f>
        <v>54.802999999999997</v>
      </c>
      <c r="E70" s="765">
        <f>'Section 11 data country'!$L$28</f>
        <v>19.87</v>
      </c>
      <c r="F70" s="764">
        <f>'Section 11 data country'!$H$8</f>
        <v>3.3650000000000002</v>
      </c>
      <c r="G70" s="764">
        <f>'Section 11 data country'!$M$28</f>
        <v>81.849999999999994</v>
      </c>
      <c r="H70" s="766">
        <f>'Section 11 data country'!$N$28</f>
        <v>33.380000000000003</v>
      </c>
    </row>
    <row r="71" spans="2:8" ht="15" customHeight="1" x14ac:dyDescent="0.2">
      <c r="B71" s="763" t="s">
        <v>287</v>
      </c>
      <c r="C71" s="764">
        <f>'Section 11 data country'!$G$9</f>
        <v>2.6469999999999998</v>
      </c>
      <c r="D71" s="764">
        <f>'Section 11 data country'!$K$29</f>
        <v>109.093</v>
      </c>
      <c r="E71" s="765">
        <f>'Section 11 data country'!$L$29</f>
        <v>33.85</v>
      </c>
      <c r="F71" s="764">
        <f>'Section 11 data country'!$H$9</f>
        <v>6.2110000000000003</v>
      </c>
      <c r="G71" s="764">
        <f>'Section 11 data country'!$M$29</f>
        <v>62.363999999999997</v>
      </c>
      <c r="H71" s="766">
        <f>'Section 11 data country'!$N$29</f>
        <v>25.71</v>
      </c>
    </row>
    <row r="72" spans="2:8" ht="15" customHeight="1" x14ac:dyDescent="0.2">
      <c r="B72" s="763" t="s">
        <v>288</v>
      </c>
      <c r="C72" s="764">
        <f>'Section 11 data country'!$G$10</f>
        <v>5.8689999999999998</v>
      </c>
      <c r="D72" s="764">
        <f>'Section 11 data country'!$K$30</f>
        <v>58.609000000000002</v>
      </c>
      <c r="E72" s="765">
        <f>'Section 11 data country'!$L$30</f>
        <v>34.270000000000003</v>
      </c>
      <c r="F72" s="764">
        <f>'Section 11 data country'!$H$10</f>
        <v>4.4809999999999999</v>
      </c>
      <c r="G72" s="764">
        <f>'Section 11 data country'!$M$30</f>
        <v>29.579000000000001</v>
      </c>
      <c r="H72" s="766">
        <f>'Section 11 data country'!$N$30</f>
        <v>16.7</v>
      </c>
    </row>
    <row r="73" spans="2:8" ht="15" customHeight="1" x14ac:dyDescent="0.2">
      <c r="B73" s="763" t="s">
        <v>301</v>
      </c>
      <c r="C73" s="764">
        <f>'Section 11 data country'!$G$11</f>
        <v>0.61699999999999999</v>
      </c>
      <c r="D73" s="764">
        <f>'Section 11 data country'!$K$31</f>
        <v>34.613999999999997</v>
      </c>
      <c r="E73" s="765">
        <f>'Section 11 data country'!$L$31</f>
        <v>25.39</v>
      </c>
      <c r="F73" s="764">
        <f>'Section 11 data country'!$H$11</f>
        <v>0.627</v>
      </c>
      <c r="G73" s="764">
        <f>'Section 11 data country'!$M$31</f>
        <v>36.002000000000002</v>
      </c>
      <c r="H73" s="766">
        <f>'Section 11 data country'!$N$31</f>
        <v>21.41</v>
      </c>
    </row>
    <row r="74" spans="2:8" ht="15" customHeight="1" x14ac:dyDescent="0.2">
      <c r="B74" s="763" t="s">
        <v>302</v>
      </c>
      <c r="C74" s="764">
        <f>'Section 11 data country'!$G$12</f>
        <v>0.16500000000000001</v>
      </c>
      <c r="D74" s="764">
        <f>'Section 11 data country'!$K$32</f>
        <v>17.062999999999999</v>
      </c>
      <c r="E74" s="765">
        <f>'Section 11 data country'!$L$32</f>
        <v>22.19</v>
      </c>
      <c r="F74" s="764">
        <f>'Section 11 data country'!$H$12</f>
        <v>9.8689999999999998</v>
      </c>
      <c r="G74" s="764">
        <f>'Section 11 data country'!$M$32</f>
        <v>18.001000000000001</v>
      </c>
      <c r="H74" s="766">
        <f>'Section 11 data country'!$N$32</f>
        <v>21.42</v>
      </c>
    </row>
    <row r="75" spans="2:8" ht="15" customHeight="1" x14ac:dyDescent="0.2">
      <c r="B75" s="763" t="s">
        <v>303</v>
      </c>
      <c r="C75" s="764">
        <f>'Section 11 data country'!$G$13</f>
        <v>3.371</v>
      </c>
      <c r="D75" s="764">
        <f>'Section 11 data country'!$K$33</f>
        <v>109.968</v>
      </c>
      <c r="E75" s="765">
        <f>'Section 11 data country'!$L$33</f>
        <v>21.02</v>
      </c>
      <c r="F75" s="764">
        <f>'Section 11 data country'!$H$13</f>
        <v>6.585</v>
      </c>
      <c r="G75" s="764">
        <f>'Section 11 data country'!$M$33</f>
        <v>99.257000000000005</v>
      </c>
      <c r="H75" s="766">
        <f>'Section 11 data country'!$N$33</f>
        <v>16.010000000000002</v>
      </c>
    </row>
    <row r="76" spans="2:8" ht="15" customHeight="1" x14ac:dyDescent="0.2">
      <c r="B76" s="763" t="s">
        <v>304</v>
      </c>
      <c r="C76" s="764">
        <f>'Section 11 data country'!$G$14</f>
        <v>6.585</v>
      </c>
      <c r="D76" s="764">
        <f>'Section 11 data country'!$K$34</f>
        <v>36.048000000000002</v>
      </c>
      <c r="E76" s="765">
        <f>'Section 11 data country'!$L$34</f>
        <v>19.64</v>
      </c>
      <c r="F76" s="764">
        <f>'Section 11 data country'!$H$14</f>
        <v>5.7949999999999999</v>
      </c>
      <c r="G76" s="764">
        <f>'Section 11 data country'!$M$34</f>
        <v>55.136000000000003</v>
      </c>
      <c r="H76" s="766">
        <f>'Section 11 data country'!$N$34</f>
        <v>20.329999999999998</v>
      </c>
    </row>
    <row r="77" spans="2:8" ht="15" customHeight="1" x14ac:dyDescent="0.2">
      <c r="B77" s="763" t="s">
        <v>291</v>
      </c>
      <c r="C77" s="764">
        <f>'Section 11 data country'!$G$15</f>
        <v>12.305</v>
      </c>
      <c r="D77" s="764">
        <f>'Section 11 data country'!$K$35</f>
        <v>35.65</v>
      </c>
      <c r="E77" s="765">
        <f>'Section 11 data country'!$L$35</f>
        <v>22.92</v>
      </c>
      <c r="F77" s="764">
        <f>'Section 11 data country'!$H$15</f>
        <v>9.9849999999999994</v>
      </c>
      <c r="G77" s="764">
        <f>'Section 11 data country'!$M$35</f>
        <v>24.302</v>
      </c>
      <c r="H77" s="766">
        <f>'Section 11 data country'!$N$35</f>
        <v>15.31</v>
      </c>
    </row>
    <row r="78" spans="2:8" ht="15" customHeight="1" x14ac:dyDescent="0.2">
      <c r="B78" s="763" t="s">
        <v>292</v>
      </c>
      <c r="C78" s="764">
        <f>'Section 11 data country'!$G$16</f>
        <v>17.774999999999999</v>
      </c>
      <c r="D78" s="764">
        <f>'Section 11 data country'!$K$36</f>
        <v>88.838999999999999</v>
      </c>
      <c r="E78" s="765">
        <f>'Section 11 data country'!$L$36</f>
        <v>19.899999999999999</v>
      </c>
      <c r="F78" s="764">
        <f>'Section 11 data country'!$H$16</f>
        <v>46.031999999999996</v>
      </c>
      <c r="G78" s="764">
        <f>'Section 11 data country'!$M$36</f>
        <v>91.116</v>
      </c>
      <c r="H78" s="766">
        <f>'Section 11 data country'!$N$36</f>
        <v>17.39</v>
      </c>
    </row>
    <row r="79" spans="2:8" ht="15" customHeight="1" x14ac:dyDescent="0.2">
      <c r="B79" s="763" t="s">
        <v>293</v>
      </c>
      <c r="C79" s="764">
        <f>'Section 11 data country'!$G$17</f>
        <v>1.6679999999999999</v>
      </c>
      <c r="D79" s="764">
        <f>'Section 11 data country'!$K$37</f>
        <v>99.477999999999994</v>
      </c>
      <c r="E79" s="765">
        <f>'Section 11 data country'!$L$37</f>
        <v>12.59</v>
      </c>
      <c r="F79" s="764">
        <f>'Section 11 data country'!$H$17</f>
        <v>16.125</v>
      </c>
      <c r="G79" s="764">
        <f>'Section 11 data country'!$M$37</f>
        <v>90.569000000000003</v>
      </c>
      <c r="H79" s="766">
        <f>'Section 11 data country'!$N$37</f>
        <v>12.39</v>
      </c>
    </row>
    <row r="80" spans="2:8" ht="15" customHeight="1" x14ac:dyDescent="0.2">
      <c r="B80" s="763" t="s">
        <v>294</v>
      </c>
      <c r="C80" s="764">
        <f>'Section 11 data country'!$G$18</f>
        <v>18.622</v>
      </c>
      <c r="D80" s="764">
        <f>'Section 11 data country'!$K$38</f>
        <v>66.308000000000007</v>
      </c>
      <c r="E80" s="765">
        <f>'Section 11 data country'!$L$38</f>
        <v>28.15</v>
      </c>
      <c r="F80" s="764">
        <f>'Section 11 data country'!$H$18</f>
        <v>10.87</v>
      </c>
      <c r="G80" s="764">
        <f>'Section 11 data country'!$M$38</f>
        <v>62.664000000000001</v>
      </c>
      <c r="H80" s="766">
        <f>'Section 11 data country'!$N$38</f>
        <v>23.63</v>
      </c>
    </row>
    <row r="81" spans="2:8" ht="15" customHeight="1" x14ac:dyDescent="0.2">
      <c r="B81" s="763" t="s">
        <v>295</v>
      </c>
      <c r="C81" s="764">
        <f>'Section 11 data country'!$G$19</f>
        <v>18.414000000000001</v>
      </c>
      <c r="D81" s="764">
        <f>'Section 11 data country'!$K$39</f>
        <v>145.39400000000001</v>
      </c>
      <c r="E81" s="765">
        <f>'Section 11 data country'!$L$39</f>
        <v>22.95</v>
      </c>
      <c r="F81" s="764">
        <f>'Section 11 data country'!$H$19</f>
        <v>18.056999999999999</v>
      </c>
      <c r="G81" s="764">
        <f>'Section 11 data country'!$M$39</f>
        <v>93.040999999999997</v>
      </c>
      <c r="H81" s="766">
        <f>'Section 11 data country'!$N$39</f>
        <v>11.7</v>
      </c>
    </row>
    <row r="82" spans="2:8" ht="15" customHeight="1" x14ac:dyDescent="0.2">
      <c r="B82" s="767" t="s">
        <v>296</v>
      </c>
      <c r="C82" s="768">
        <f>'Section 11 data country'!$G$20</f>
        <v>4.0460000000000003</v>
      </c>
      <c r="D82" s="768">
        <f>'Section 11 data country'!$K$40</f>
        <v>102.22799999999999</v>
      </c>
      <c r="E82" s="769">
        <f>'Section 11 data country'!$L$40</f>
        <v>14.33</v>
      </c>
      <c r="F82" s="768">
        <f>'Section 11 data country'!$H$20</f>
        <v>3.82</v>
      </c>
      <c r="G82" s="768">
        <f>'Section 11 data country'!$M$40</f>
        <v>88.022999999999996</v>
      </c>
      <c r="H82" s="770">
        <f>'Section 11 data country'!$N$40</f>
        <v>11.9</v>
      </c>
    </row>
    <row r="85" spans="2:8" ht="15" customHeight="1" x14ac:dyDescent="0.2">
      <c r="B85" s="1109" t="s">
        <v>380</v>
      </c>
      <c r="C85" s="1089" t="s">
        <v>333</v>
      </c>
      <c r="D85" s="1089"/>
      <c r="E85" s="1089"/>
      <c r="F85" s="1089" t="s">
        <v>334</v>
      </c>
      <c r="G85" s="1089"/>
      <c r="H85" s="1018"/>
    </row>
    <row r="86" spans="2:8" ht="15" customHeight="1" x14ac:dyDescent="0.2">
      <c r="B86" s="1110"/>
      <c r="C86" s="732" t="s">
        <v>78</v>
      </c>
      <c r="D86" s="1091" t="s">
        <v>79</v>
      </c>
      <c r="E86" s="1091"/>
      <c r="F86" s="732" t="s">
        <v>78</v>
      </c>
      <c r="G86" s="1091" t="s">
        <v>79</v>
      </c>
      <c r="H86" s="1013"/>
    </row>
    <row r="87" spans="2:8" ht="30" customHeight="1" x14ac:dyDescent="0.2">
      <c r="B87" s="1110"/>
      <c r="C87" s="1090" t="s">
        <v>326</v>
      </c>
      <c r="D87" s="1090"/>
      <c r="E87" s="130" t="s">
        <v>82</v>
      </c>
      <c r="F87" s="1090" t="s">
        <v>326</v>
      </c>
      <c r="G87" s="1090"/>
      <c r="H87" s="131" t="s">
        <v>82</v>
      </c>
    </row>
    <row r="88" spans="2:8" ht="15" customHeight="1" x14ac:dyDescent="0.2">
      <c r="B88" s="759" t="str">
        <f>Index!$B$4</f>
        <v>England</v>
      </c>
      <c r="C88" s="760">
        <f>'Section 11 data country'!$I$6</f>
        <v>193.01599999999999</v>
      </c>
      <c r="D88" s="760">
        <f>'Section 11 data country'!$O$26</f>
        <v>1864.1179999999999</v>
      </c>
      <c r="E88" s="761">
        <f>'Section 11 data country'!$P$26</f>
        <v>6.0087275633713189</v>
      </c>
      <c r="F88" s="760">
        <f>'Section 11 data country'!$J$6</f>
        <v>127.23299999999998</v>
      </c>
      <c r="G88" s="760">
        <f>'Section 11 data country'!$Q$26</f>
        <v>1537.9449999999999</v>
      </c>
      <c r="H88" s="762">
        <f>'Section 11 data country'!$R$26</f>
        <v>5.3753890135659841</v>
      </c>
    </row>
    <row r="89" spans="2:8" ht="15" customHeight="1" x14ac:dyDescent="0.2">
      <c r="B89" s="763" t="s">
        <v>286</v>
      </c>
      <c r="C89" s="764">
        <f>'Section 11 data country'!$I$7</f>
        <v>7.2649999999999997</v>
      </c>
      <c r="D89" s="764">
        <f>'Section 11 data country'!$O$27</f>
        <v>67.045000000000002</v>
      </c>
      <c r="E89" s="765">
        <f>'Section 11 data country'!$P$27</f>
        <v>26.03</v>
      </c>
      <c r="F89" s="764">
        <f>'Section 11 data country'!$J$7</f>
        <v>1.4870000000000001</v>
      </c>
      <c r="G89" s="764">
        <f>'Section 11 data country'!$Q$27</f>
        <v>102.124</v>
      </c>
      <c r="H89" s="766">
        <f>'Section 11 data country'!$R$27</f>
        <v>42.15</v>
      </c>
    </row>
    <row r="90" spans="2:8" ht="15" customHeight="1" x14ac:dyDescent="0.2">
      <c r="B90" s="763" t="s">
        <v>298</v>
      </c>
      <c r="C90" s="764">
        <f>'Section 11 data country'!$I$8</f>
        <v>3.62</v>
      </c>
      <c r="D90" s="764">
        <f>'Section 11 data country'!$O$28</f>
        <v>90.275000000000006</v>
      </c>
      <c r="E90" s="765">
        <f>'Section 11 data country'!$P$28</f>
        <v>17.09</v>
      </c>
      <c r="F90" s="764">
        <f>'Section 11 data country'!$J$8</f>
        <v>3.8079999999999998</v>
      </c>
      <c r="G90" s="764">
        <f>'Section 11 data country'!$Q$28</f>
        <v>61.390999999999998</v>
      </c>
      <c r="H90" s="766">
        <f>'Section 11 data country'!$R$28</f>
        <v>14.14</v>
      </c>
    </row>
    <row r="91" spans="2:8" ht="15" customHeight="1" x14ac:dyDescent="0.2">
      <c r="B91" s="763" t="s">
        <v>287</v>
      </c>
      <c r="C91" s="764">
        <f>'Section 11 data country'!$I$9</f>
        <v>5.2809999999999997</v>
      </c>
      <c r="D91" s="764">
        <f>'Section 11 data country'!$O$29</f>
        <v>71.593000000000004</v>
      </c>
      <c r="E91" s="765">
        <f>'Section 11 data country'!$P$29</f>
        <v>14.18</v>
      </c>
      <c r="F91" s="764">
        <f>'Section 11 data country'!$J$9</f>
        <v>8.4190000000000005</v>
      </c>
      <c r="G91" s="764">
        <f>'Section 11 data country'!$Q$29</f>
        <v>67.191999999999993</v>
      </c>
      <c r="H91" s="766">
        <f>'Section 11 data country'!$R$29</f>
        <v>21.39</v>
      </c>
    </row>
    <row r="92" spans="2:8" ht="15" customHeight="1" x14ac:dyDescent="0.2">
      <c r="B92" s="763" t="s">
        <v>288</v>
      </c>
      <c r="C92" s="764">
        <f>'Section 11 data country'!$I$10</f>
        <v>8.7420000000000009</v>
      </c>
      <c r="D92" s="764">
        <f>'Section 11 data country'!$O$30</f>
        <v>53.497999999999998</v>
      </c>
      <c r="E92" s="765">
        <f>'Section 11 data country'!$P$30</f>
        <v>16.13</v>
      </c>
      <c r="F92" s="764">
        <f>'Section 11 data country'!$J$10</f>
        <v>4.8159999999999998</v>
      </c>
      <c r="G92" s="764">
        <f>'Section 11 data country'!$Q$30</f>
        <v>66.314999999999998</v>
      </c>
      <c r="H92" s="766">
        <f>'Section 11 data country'!$R$30</f>
        <v>35.549999999999997</v>
      </c>
    </row>
    <row r="93" spans="2:8" ht="15" customHeight="1" x14ac:dyDescent="0.2">
      <c r="B93" s="763" t="s">
        <v>301</v>
      </c>
      <c r="C93" s="764">
        <f>'Section 11 data country'!$I$11</f>
        <v>0.51800000000000002</v>
      </c>
      <c r="D93" s="764">
        <f>'Section 11 data country'!$O$31</f>
        <v>36.689</v>
      </c>
      <c r="E93" s="765">
        <f>'Section 11 data country'!$P$31</f>
        <v>21.43</v>
      </c>
      <c r="F93" s="764">
        <f>'Section 11 data country'!$J$11</f>
        <v>0.32500000000000001</v>
      </c>
      <c r="G93" s="764">
        <f>'Section 11 data country'!$Q$31</f>
        <v>49.747</v>
      </c>
      <c r="H93" s="766">
        <f>'Section 11 data country'!$R$31</f>
        <v>22</v>
      </c>
    </row>
    <row r="94" spans="2:8" ht="15" customHeight="1" x14ac:dyDescent="0.2">
      <c r="B94" s="763" t="s">
        <v>302</v>
      </c>
      <c r="C94" s="764">
        <f>'Section 11 data country'!$I$12</f>
        <v>0.40400000000000003</v>
      </c>
      <c r="D94" s="764">
        <f>'Section 11 data country'!$O$32</f>
        <v>22.27</v>
      </c>
      <c r="E94" s="765">
        <f>'Section 11 data country'!$P$32</f>
        <v>18.88</v>
      </c>
      <c r="F94" s="764">
        <f>'Section 11 data country'!$J$12</f>
        <v>0.28499999999999998</v>
      </c>
      <c r="G94" s="764">
        <f>'Section 11 data country'!$Q$32</f>
        <v>22.626000000000001</v>
      </c>
      <c r="H94" s="766">
        <f>'Section 11 data country'!$R$32</f>
        <v>19.12</v>
      </c>
    </row>
    <row r="95" spans="2:8" ht="15" customHeight="1" x14ac:dyDescent="0.2">
      <c r="B95" s="763" t="s">
        <v>303</v>
      </c>
      <c r="C95" s="764">
        <f>'Section 11 data country'!$I$13</f>
        <v>5.7949999999999999</v>
      </c>
      <c r="D95" s="764">
        <f>'Section 11 data country'!$O$33</f>
        <v>122.413</v>
      </c>
      <c r="E95" s="765">
        <f>'Section 11 data country'!$P$33</f>
        <v>23.92</v>
      </c>
      <c r="F95" s="764">
        <f>'Section 11 data country'!$J$13</f>
        <v>7.8540000000000001</v>
      </c>
      <c r="G95" s="764">
        <f>'Section 11 data country'!$Q$33</f>
        <v>113.898</v>
      </c>
      <c r="H95" s="766">
        <f>'Section 11 data country'!$R$33</f>
        <v>12.83</v>
      </c>
    </row>
    <row r="96" spans="2:8" ht="15" customHeight="1" x14ac:dyDescent="0.2">
      <c r="B96" s="763" t="s">
        <v>304</v>
      </c>
      <c r="C96" s="764">
        <f>'Section 11 data country'!$I$14</f>
        <v>7.8540000000000001</v>
      </c>
      <c r="D96" s="764">
        <f>'Section 11 data country'!$O$34</f>
        <v>64.620999999999995</v>
      </c>
      <c r="E96" s="765">
        <f>'Section 11 data country'!$P$34</f>
        <v>20.93</v>
      </c>
      <c r="F96" s="764">
        <f>'Section 11 data country'!$J$14</f>
        <v>4.4390000000000001</v>
      </c>
      <c r="G96" s="764">
        <f>'Section 11 data country'!$Q$34</f>
        <v>49.813000000000002</v>
      </c>
      <c r="H96" s="766">
        <f>'Section 11 data country'!$R$34</f>
        <v>33.53</v>
      </c>
    </row>
    <row r="97" spans="2:8" ht="15" customHeight="1" x14ac:dyDescent="0.2">
      <c r="B97" s="763" t="s">
        <v>291</v>
      </c>
      <c r="C97" s="764">
        <f>'Section 11 data country'!$I$15</f>
        <v>34.292000000000002</v>
      </c>
      <c r="D97" s="764">
        <f>'Section 11 data country'!$O$35</f>
        <v>44.088999999999999</v>
      </c>
      <c r="E97" s="765">
        <f>'Section 11 data country'!$P$35</f>
        <v>15.52</v>
      </c>
      <c r="F97" s="764">
        <f>'Section 11 data country'!$J$15</f>
        <v>13.627000000000001</v>
      </c>
      <c r="G97" s="764">
        <f>'Section 11 data country'!$Q$35</f>
        <v>39.719000000000001</v>
      </c>
      <c r="H97" s="766">
        <f>'Section 11 data country'!$R$35</f>
        <v>16.22</v>
      </c>
    </row>
    <row r="98" spans="2:8" ht="15" customHeight="1" x14ac:dyDescent="0.2">
      <c r="B98" s="763" t="s">
        <v>292</v>
      </c>
      <c r="C98" s="764">
        <f>'Section 11 data country'!$I$16</f>
        <v>43.795000000000002</v>
      </c>
      <c r="D98" s="764">
        <f>'Section 11 data country'!$O$36</f>
        <v>117.491</v>
      </c>
      <c r="E98" s="765">
        <f>'Section 11 data country'!$P$36</f>
        <v>14.35</v>
      </c>
      <c r="F98" s="764">
        <f>'Section 11 data country'!$J$16</f>
        <v>33.500999999999998</v>
      </c>
      <c r="G98" s="764">
        <f>'Section 11 data country'!$Q$36</f>
        <v>88.691000000000003</v>
      </c>
      <c r="H98" s="766">
        <f>'Section 11 data country'!$R$36</f>
        <v>14.21</v>
      </c>
    </row>
    <row r="99" spans="2:8" ht="15" customHeight="1" x14ac:dyDescent="0.2">
      <c r="B99" s="763" t="s">
        <v>293</v>
      </c>
      <c r="C99" s="764">
        <f>'Section 11 data country'!$I$17</f>
        <v>6.2009999999999996</v>
      </c>
      <c r="D99" s="764">
        <f>'Section 11 data country'!$O$37</f>
        <v>136.179</v>
      </c>
      <c r="E99" s="765">
        <f>'Section 11 data country'!$P$37</f>
        <v>16.23</v>
      </c>
      <c r="F99" s="764">
        <f>'Section 11 data country'!$J$17</f>
        <v>1.621</v>
      </c>
      <c r="G99" s="764">
        <f>'Section 11 data country'!$Q$37</f>
        <v>174.178</v>
      </c>
      <c r="H99" s="766">
        <f>'Section 11 data country'!$R$37</f>
        <v>19.13</v>
      </c>
    </row>
    <row r="100" spans="2:8" ht="15" customHeight="1" x14ac:dyDescent="0.2">
      <c r="B100" s="763" t="s">
        <v>294</v>
      </c>
      <c r="C100" s="764">
        <f>'Section 11 data country'!$I$18</f>
        <v>23.564</v>
      </c>
      <c r="D100" s="764">
        <f>'Section 11 data country'!$O$38</f>
        <v>84.242000000000004</v>
      </c>
      <c r="E100" s="765">
        <f>'Section 11 data country'!$P$38</f>
        <v>23.06</v>
      </c>
      <c r="F100" s="764">
        <f>'Section 11 data country'!$J$18</f>
        <v>15.847</v>
      </c>
      <c r="G100" s="764">
        <f>'Section 11 data country'!$Q$38</f>
        <v>62.595999999999997</v>
      </c>
      <c r="H100" s="766">
        <f>'Section 11 data country'!$R$38</f>
        <v>10.81</v>
      </c>
    </row>
    <row r="101" spans="2:8" ht="15" customHeight="1" x14ac:dyDescent="0.2">
      <c r="B101" s="763" t="s">
        <v>295</v>
      </c>
      <c r="C101" s="764">
        <f>'Section 11 data country'!$I$19</f>
        <v>45.112000000000002</v>
      </c>
      <c r="D101" s="764">
        <f>'Section 11 data country'!$O$39</f>
        <v>123.294</v>
      </c>
      <c r="E101" s="765">
        <f>'Section 11 data country'!$P$39</f>
        <v>23.08</v>
      </c>
      <c r="F101" s="764">
        <f>'Section 11 data country'!$J$19</f>
        <v>28.303999999999998</v>
      </c>
      <c r="G101" s="764">
        <f>'Section 11 data country'!$Q$39</f>
        <v>157.60499999999999</v>
      </c>
      <c r="H101" s="766">
        <f>'Section 11 data country'!$R$39</f>
        <v>23.49</v>
      </c>
    </row>
    <row r="102" spans="2:8" ht="15" customHeight="1" x14ac:dyDescent="0.2">
      <c r="B102" s="767" t="s">
        <v>296</v>
      </c>
      <c r="C102" s="768">
        <f>'Section 11 data country'!$I$20</f>
        <v>4.96</v>
      </c>
      <c r="D102" s="768">
        <f>'Section 11 data country'!$O$40</f>
        <v>133.364</v>
      </c>
      <c r="E102" s="769">
        <f>'Section 11 data country'!$P$40</f>
        <v>11.81</v>
      </c>
      <c r="F102" s="768">
        <f>'Section 11 data country'!$J$20</f>
        <v>4.1829999999999998</v>
      </c>
      <c r="G102" s="768">
        <f>'Section 11 data country'!$Q$40</f>
        <v>111.53400000000001</v>
      </c>
      <c r="H102" s="770">
        <f>'Section 11 data country'!$R$40</f>
        <v>11.53</v>
      </c>
    </row>
    <row r="105" spans="2:8" ht="15" customHeight="1" x14ac:dyDescent="0.2">
      <c r="B105" s="1109" t="s">
        <v>380</v>
      </c>
      <c r="C105" s="1089" t="s">
        <v>231</v>
      </c>
      <c r="D105" s="1089"/>
      <c r="E105" s="1089"/>
      <c r="F105" s="1089" t="s">
        <v>232</v>
      </c>
      <c r="G105" s="1089"/>
      <c r="H105" s="1018"/>
    </row>
    <row r="106" spans="2:8" ht="15" customHeight="1" x14ac:dyDescent="0.2">
      <c r="B106" s="1110"/>
      <c r="C106" s="732" t="s">
        <v>78</v>
      </c>
      <c r="D106" s="1091" t="s">
        <v>79</v>
      </c>
      <c r="E106" s="1091"/>
      <c r="F106" s="732" t="s">
        <v>78</v>
      </c>
      <c r="G106" s="1091" t="s">
        <v>79</v>
      </c>
      <c r="H106" s="1013"/>
    </row>
    <row r="107" spans="2:8" ht="30" customHeight="1" x14ac:dyDescent="0.2">
      <c r="B107" s="1110"/>
      <c r="C107" s="1090" t="s">
        <v>326</v>
      </c>
      <c r="D107" s="1090"/>
      <c r="E107" s="130" t="s">
        <v>82</v>
      </c>
      <c r="F107" s="1090" t="s">
        <v>326</v>
      </c>
      <c r="G107" s="1090"/>
      <c r="H107" s="131" t="s">
        <v>82</v>
      </c>
    </row>
    <row r="108" spans="2:8" ht="15" customHeight="1" x14ac:dyDescent="0.2">
      <c r="B108" s="759" t="str">
        <f>Index!$B$4</f>
        <v>England</v>
      </c>
      <c r="C108" s="760">
        <f>'Section 11 data country'!$K$6</f>
        <v>133.34199999999998</v>
      </c>
      <c r="D108" s="760">
        <f>'Section 11 data country'!$S$26</f>
        <v>1437.366</v>
      </c>
      <c r="E108" s="761">
        <f>'Section 11 data country'!$T$26</f>
        <v>5.6549002041536838</v>
      </c>
      <c r="F108" s="760">
        <f>'Section 11 data country'!$L$6</f>
        <v>161.45600000000002</v>
      </c>
      <c r="G108" s="760">
        <f>'Section 11 data country'!$U$26</f>
        <v>1622.8710000000001</v>
      </c>
      <c r="H108" s="762">
        <f>'Section 11 data country'!$V$26</f>
        <v>5.9226321723649189</v>
      </c>
    </row>
    <row r="109" spans="2:8" ht="15" customHeight="1" x14ac:dyDescent="0.2">
      <c r="B109" s="763" t="s">
        <v>286</v>
      </c>
      <c r="C109" s="764">
        <f>'Section 11 data country'!$K$7</f>
        <v>2.597</v>
      </c>
      <c r="D109" s="764">
        <f>'Section 11 data country'!$S$27</f>
        <v>53.963000000000001</v>
      </c>
      <c r="E109" s="765">
        <f>'Section 11 data country'!$T$27</f>
        <v>13.71</v>
      </c>
      <c r="F109" s="764">
        <f>'Section 11 data country'!$L$7</f>
        <v>2.7480000000000002</v>
      </c>
      <c r="G109" s="764">
        <f>'Section 11 data country'!$U$27</f>
        <v>61.670999999999999</v>
      </c>
      <c r="H109" s="766">
        <f>'Section 11 data country'!$V$27</f>
        <v>14.9</v>
      </c>
    </row>
    <row r="110" spans="2:8" ht="15" customHeight="1" x14ac:dyDescent="0.2">
      <c r="B110" s="763" t="s">
        <v>298</v>
      </c>
      <c r="C110" s="764">
        <f>'Section 11 data country'!$K$8</f>
        <v>3.7189999999999999</v>
      </c>
      <c r="D110" s="764">
        <f>'Section 11 data country'!$S$28</f>
        <v>59.960999999999999</v>
      </c>
      <c r="E110" s="765">
        <f>'Section 11 data country'!$T$28</f>
        <v>14.72</v>
      </c>
      <c r="F110" s="764">
        <f>'Section 11 data country'!$L$8</f>
        <v>6.8019999999999996</v>
      </c>
      <c r="G110" s="764">
        <f>'Section 11 data country'!$U$28</f>
        <v>66.349999999999994</v>
      </c>
      <c r="H110" s="766">
        <f>'Section 11 data country'!$V$28</f>
        <v>16.649999999999999</v>
      </c>
    </row>
    <row r="111" spans="2:8" ht="15" customHeight="1" x14ac:dyDescent="0.2">
      <c r="B111" s="763" t="s">
        <v>287</v>
      </c>
      <c r="C111" s="764">
        <f>'Section 11 data country'!$K$9</f>
        <v>5.8070000000000004</v>
      </c>
      <c r="D111" s="764">
        <f>'Section 11 data country'!$S$29</f>
        <v>67.012</v>
      </c>
      <c r="E111" s="765">
        <f>'Section 11 data country'!$T$29</f>
        <v>16.64</v>
      </c>
      <c r="F111" s="764">
        <f>'Section 11 data country'!$L$9</f>
        <v>10.347</v>
      </c>
      <c r="G111" s="764">
        <f>'Section 11 data country'!$U$29</f>
        <v>69.75</v>
      </c>
      <c r="H111" s="766">
        <f>'Section 11 data country'!$V$29</f>
        <v>17.55</v>
      </c>
    </row>
    <row r="112" spans="2:8" ht="15" customHeight="1" x14ac:dyDescent="0.2">
      <c r="B112" s="763" t="s">
        <v>288</v>
      </c>
      <c r="C112" s="764">
        <f>'Section 11 data country'!$K$10</f>
        <v>8.8049999999999997</v>
      </c>
      <c r="D112" s="764">
        <f>'Section 11 data country'!$S$30</f>
        <v>46.466000000000001</v>
      </c>
      <c r="E112" s="765">
        <f>'Section 11 data country'!$T$30</f>
        <v>23.81</v>
      </c>
      <c r="F112" s="764">
        <f>'Section 11 data country'!$L$10</f>
        <v>5.0659999999999998</v>
      </c>
      <c r="G112" s="764">
        <f>'Section 11 data country'!$U$30</f>
        <v>58.829000000000001</v>
      </c>
      <c r="H112" s="766">
        <f>'Section 11 data country'!$V$30</f>
        <v>21.94</v>
      </c>
    </row>
    <row r="113" spans="2:8" ht="15" customHeight="1" x14ac:dyDescent="0.2">
      <c r="B113" s="763" t="s">
        <v>301</v>
      </c>
      <c r="C113" s="764">
        <f>'Section 11 data country'!$K$11</f>
        <v>1.038</v>
      </c>
      <c r="D113" s="764">
        <f>'Section 11 data country'!$S$31</f>
        <v>59.463000000000001</v>
      </c>
      <c r="E113" s="765">
        <f>'Section 11 data country'!$T$31</f>
        <v>32.29</v>
      </c>
      <c r="F113" s="764">
        <f>'Section 11 data country'!$L$11</f>
        <v>0.17499999999999999</v>
      </c>
      <c r="G113" s="764">
        <f>'Section 11 data country'!$U$31</f>
        <v>64.822999999999993</v>
      </c>
      <c r="H113" s="766">
        <f>'Section 11 data country'!$V$31</f>
        <v>30.65</v>
      </c>
    </row>
    <row r="114" spans="2:8" ht="15" customHeight="1" x14ac:dyDescent="0.2">
      <c r="B114" s="763" t="s">
        <v>302</v>
      </c>
      <c r="C114" s="764">
        <f>'Section 11 data country'!$K$12</f>
        <v>0.73499999999999999</v>
      </c>
      <c r="D114" s="764">
        <f>'Section 11 data country'!$S$32</f>
        <v>49.206000000000003</v>
      </c>
      <c r="E114" s="765">
        <f>'Section 11 data country'!$T$32</f>
        <v>31.49</v>
      </c>
      <c r="F114" s="764">
        <f>'Section 11 data country'!$L$12</f>
        <v>0.68899999999999995</v>
      </c>
      <c r="G114" s="764">
        <f>'Section 11 data country'!$U$32</f>
        <v>21.638999999999999</v>
      </c>
      <c r="H114" s="766">
        <f>'Section 11 data country'!$V$32</f>
        <v>25.3</v>
      </c>
    </row>
    <row r="115" spans="2:8" ht="15" customHeight="1" x14ac:dyDescent="0.2">
      <c r="B115" s="763" t="s">
        <v>303</v>
      </c>
      <c r="C115" s="764">
        <f>'Section 11 data country'!$K$13</f>
        <v>4.4390000000000001</v>
      </c>
      <c r="D115" s="764">
        <f>'Section 11 data country'!$S$33</f>
        <v>206.43100000000001</v>
      </c>
      <c r="E115" s="765">
        <f>'Section 11 data country'!$T$33</f>
        <v>20.51</v>
      </c>
      <c r="F115" s="764">
        <f>'Section 11 data country'!$L$13</f>
        <v>17.875</v>
      </c>
      <c r="G115" s="764">
        <f>'Section 11 data country'!$U$33</f>
        <v>115.17100000000001</v>
      </c>
      <c r="H115" s="766">
        <f>'Section 11 data country'!$V$33</f>
        <v>14.26</v>
      </c>
    </row>
    <row r="116" spans="2:8" ht="15" customHeight="1" x14ac:dyDescent="0.2">
      <c r="B116" s="763" t="s">
        <v>304</v>
      </c>
      <c r="C116" s="764">
        <f>'Section 11 data country'!$K$14</f>
        <v>17.875</v>
      </c>
      <c r="D116" s="764">
        <f>'Section 11 data country'!$S$34</f>
        <v>59.04</v>
      </c>
      <c r="E116" s="765">
        <f>'Section 11 data country'!$T$34</f>
        <v>25.71</v>
      </c>
      <c r="F116" s="764">
        <f>'Section 11 data country'!$L$14</f>
        <v>4.6109999999999998</v>
      </c>
      <c r="G116" s="764">
        <f>'Section 11 data country'!$U$34</f>
        <v>52.491</v>
      </c>
      <c r="H116" s="766">
        <f>'Section 11 data country'!$V$34</f>
        <v>19.190000000000001</v>
      </c>
    </row>
    <row r="117" spans="2:8" ht="15" customHeight="1" x14ac:dyDescent="0.2">
      <c r="B117" s="763" t="s">
        <v>291</v>
      </c>
      <c r="C117" s="764">
        <f>'Section 11 data country'!$K$15</f>
        <v>15.933</v>
      </c>
      <c r="D117" s="764">
        <f>'Section 11 data country'!$S$35</f>
        <v>38.395000000000003</v>
      </c>
      <c r="E117" s="765">
        <f>'Section 11 data country'!$T$35</f>
        <v>21.09</v>
      </c>
      <c r="F117" s="764">
        <f>'Section 11 data country'!$L$15</f>
        <v>16.239000000000001</v>
      </c>
      <c r="G117" s="764">
        <f>'Section 11 data country'!$U$35</f>
        <v>47.356000000000002</v>
      </c>
      <c r="H117" s="766">
        <f>'Section 11 data country'!$V$35</f>
        <v>24.42</v>
      </c>
    </row>
    <row r="118" spans="2:8" ht="15" customHeight="1" x14ac:dyDescent="0.2">
      <c r="B118" s="763" t="s">
        <v>292</v>
      </c>
      <c r="C118" s="764">
        <f>'Section 11 data country'!$K$16</f>
        <v>27.170999999999999</v>
      </c>
      <c r="D118" s="764">
        <f>'Section 11 data country'!$S$36</f>
        <v>118.07899999999999</v>
      </c>
      <c r="E118" s="765">
        <f>'Section 11 data country'!$T$36</f>
        <v>13.92</v>
      </c>
      <c r="F118" s="764">
        <f>'Section 11 data country'!$L$16</f>
        <v>43.365000000000002</v>
      </c>
      <c r="G118" s="764">
        <f>'Section 11 data country'!$U$36</f>
        <v>129.68100000000001</v>
      </c>
      <c r="H118" s="766">
        <f>'Section 11 data country'!$V$36</f>
        <v>16.43</v>
      </c>
    </row>
    <row r="119" spans="2:8" ht="15" customHeight="1" x14ac:dyDescent="0.2">
      <c r="B119" s="763" t="s">
        <v>293</v>
      </c>
      <c r="C119" s="764">
        <f>'Section 11 data country'!$K$17</f>
        <v>5.1280000000000001</v>
      </c>
      <c r="D119" s="764">
        <f>'Section 11 data country'!$S$37</f>
        <v>143.429</v>
      </c>
      <c r="E119" s="765">
        <f>'Section 11 data country'!$T$37</f>
        <v>14.01</v>
      </c>
      <c r="F119" s="764">
        <f>'Section 11 data country'!$L$17</f>
        <v>2.6720000000000002</v>
      </c>
      <c r="G119" s="764">
        <f>'Section 11 data country'!$U$37</f>
        <v>155.244</v>
      </c>
      <c r="H119" s="766">
        <f>'Section 11 data country'!$V$37</f>
        <v>16.16</v>
      </c>
    </row>
    <row r="120" spans="2:8" ht="15" customHeight="1" x14ac:dyDescent="0.2">
      <c r="B120" s="763" t="s">
        <v>294</v>
      </c>
      <c r="C120" s="764">
        <f>'Section 11 data country'!$K$18</f>
        <v>19.018000000000001</v>
      </c>
      <c r="D120" s="764">
        <f>'Section 11 data country'!$S$38</f>
        <v>70.582999999999998</v>
      </c>
      <c r="E120" s="765">
        <f>'Section 11 data country'!$T$38</f>
        <v>11.55</v>
      </c>
      <c r="F120" s="764">
        <f>'Section 11 data country'!$L$18</f>
        <v>12.138</v>
      </c>
      <c r="G120" s="764">
        <f>'Section 11 data country'!$U$38</f>
        <v>83.888000000000005</v>
      </c>
      <c r="H120" s="766">
        <f>'Section 11 data country'!$V$38</f>
        <v>20.27</v>
      </c>
    </row>
    <row r="121" spans="2:8" ht="15" customHeight="1" x14ac:dyDescent="0.2">
      <c r="B121" s="763" t="s">
        <v>295</v>
      </c>
      <c r="C121" s="764">
        <f>'Section 11 data country'!$K$19</f>
        <v>28.565999999999999</v>
      </c>
      <c r="D121" s="764">
        <f>'Section 11 data country'!$S$39</f>
        <v>138.49700000000001</v>
      </c>
      <c r="E121" s="765">
        <f>'Section 11 data country'!$T$39</f>
        <v>12.36</v>
      </c>
      <c r="F121" s="764">
        <f>'Section 11 data country'!$L$19</f>
        <v>29.603000000000002</v>
      </c>
      <c r="G121" s="764">
        <f>'Section 11 data country'!$U$39</f>
        <v>148.553</v>
      </c>
      <c r="H121" s="766">
        <f>'Section 11 data country'!$V$39</f>
        <v>17.54</v>
      </c>
    </row>
    <row r="122" spans="2:8" ht="15" customHeight="1" x14ac:dyDescent="0.2">
      <c r="B122" s="767" t="s">
        <v>296</v>
      </c>
      <c r="C122" s="768">
        <f>'Section 11 data country'!$K$20</f>
        <v>5.048</v>
      </c>
      <c r="D122" s="768">
        <f>'Section 11 data country'!$S$40</f>
        <v>143.5</v>
      </c>
      <c r="E122" s="769">
        <f>'Section 11 data country'!$T$40</f>
        <v>14.39</v>
      </c>
      <c r="F122" s="768">
        <f>'Section 11 data country'!$L$20</f>
        <v>8.9589999999999996</v>
      </c>
      <c r="G122" s="768">
        <f>'Section 11 data country'!$U$40</f>
        <v>123.72199999999999</v>
      </c>
      <c r="H122" s="770">
        <f>'Section 11 data country'!$V$40</f>
        <v>10.84</v>
      </c>
    </row>
    <row r="125" spans="2:8" ht="15" customHeight="1" x14ac:dyDescent="0.2">
      <c r="B125" s="1109" t="s">
        <v>380</v>
      </c>
      <c r="C125" s="1089" t="s">
        <v>233</v>
      </c>
      <c r="D125" s="1089"/>
      <c r="E125" s="1018"/>
    </row>
    <row r="126" spans="2:8" ht="15" customHeight="1" x14ac:dyDescent="0.2">
      <c r="B126" s="1110"/>
      <c r="C126" s="732" t="s">
        <v>78</v>
      </c>
      <c r="D126" s="1091" t="s">
        <v>79</v>
      </c>
      <c r="E126" s="1013"/>
    </row>
    <row r="127" spans="2:8" ht="30" customHeight="1" x14ac:dyDescent="0.2">
      <c r="B127" s="1110"/>
      <c r="C127" s="1090" t="s">
        <v>326</v>
      </c>
      <c r="D127" s="1090"/>
      <c r="E127" s="131" t="s">
        <v>82</v>
      </c>
    </row>
    <row r="128" spans="2:8" ht="15" customHeight="1" x14ac:dyDescent="0.2">
      <c r="B128" s="759" t="str">
        <f>Index!$B$4</f>
        <v>England</v>
      </c>
      <c r="C128" s="760">
        <f>'Section 11 data country'!$M$6</f>
        <v>156.49700000000001</v>
      </c>
      <c r="D128" s="760">
        <f>'Section 11 data country'!$W$26</f>
        <v>1370.6420000000001</v>
      </c>
      <c r="E128" s="762">
        <f>'Section 11 data country'!$X$26</f>
        <v>5.9733356391400863</v>
      </c>
    </row>
    <row r="129" spans="2:5" ht="15" customHeight="1" x14ac:dyDescent="0.2">
      <c r="B129" s="763" t="s">
        <v>286</v>
      </c>
      <c r="C129" s="764">
        <f>'Section 11 data country'!$M$7</f>
        <v>2.488</v>
      </c>
      <c r="D129" s="764">
        <f>'Section 11 data country'!$W$27</f>
        <v>67.144999999999996</v>
      </c>
      <c r="E129" s="766">
        <f>'Section 11 data country'!$X$27</f>
        <v>11.24</v>
      </c>
    </row>
    <row r="130" spans="2:5" ht="15" customHeight="1" x14ac:dyDescent="0.2">
      <c r="B130" s="763" t="s">
        <v>298</v>
      </c>
      <c r="C130" s="764">
        <f>'Section 11 data country'!$M$8</f>
        <v>12.641999999999999</v>
      </c>
      <c r="D130" s="764">
        <f>'Section 11 data country'!$W$28</f>
        <v>81.378</v>
      </c>
      <c r="E130" s="766">
        <f>'Section 11 data country'!$X$28</f>
        <v>20.61</v>
      </c>
    </row>
    <row r="131" spans="2:5" ht="15" customHeight="1" x14ac:dyDescent="0.2">
      <c r="B131" s="763" t="s">
        <v>287</v>
      </c>
      <c r="C131" s="764">
        <f>'Section 11 data country'!$M$9</f>
        <v>6.1660000000000004</v>
      </c>
      <c r="D131" s="764">
        <f>'Section 11 data country'!$W$29</f>
        <v>96.977999999999994</v>
      </c>
      <c r="E131" s="766">
        <f>'Section 11 data country'!$X$29</f>
        <v>16.850000000000001</v>
      </c>
    </row>
    <row r="132" spans="2:5" ht="15" customHeight="1" x14ac:dyDescent="0.2">
      <c r="B132" s="763" t="s">
        <v>288</v>
      </c>
      <c r="C132" s="764">
        <f>'Section 11 data country'!$M$10</f>
        <v>5.4279999999999999</v>
      </c>
      <c r="D132" s="764">
        <f>'Section 11 data country'!$W$30</f>
        <v>63.308999999999997</v>
      </c>
      <c r="E132" s="766">
        <f>'Section 11 data country'!$X$30</f>
        <v>18.77</v>
      </c>
    </row>
    <row r="133" spans="2:5" ht="15" customHeight="1" x14ac:dyDescent="0.2">
      <c r="B133" s="763" t="s">
        <v>301</v>
      </c>
      <c r="C133" s="764">
        <f>'Section 11 data country'!$M$11</f>
        <v>0.35399999999999998</v>
      </c>
      <c r="D133" s="764">
        <f>'Section 11 data country'!$W$31</f>
        <v>78.119</v>
      </c>
      <c r="E133" s="766">
        <f>'Section 11 data country'!$X$31</f>
        <v>34.03</v>
      </c>
    </row>
    <row r="134" spans="2:5" ht="15" customHeight="1" x14ac:dyDescent="0.2">
      <c r="B134" s="763" t="s">
        <v>302</v>
      </c>
      <c r="C134" s="764">
        <f>'Section 11 data country'!$M$12</f>
        <v>0.84</v>
      </c>
      <c r="D134" s="764">
        <f>'Section 11 data country'!$W$32</f>
        <v>25.542999999999999</v>
      </c>
      <c r="E134" s="766">
        <f>'Section 11 data country'!$X$32</f>
        <v>27.48</v>
      </c>
    </row>
    <row r="135" spans="2:5" ht="15" customHeight="1" x14ac:dyDescent="0.2">
      <c r="B135" s="763" t="s">
        <v>303</v>
      </c>
      <c r="C135" s="764">
        <f>'Section 11 data country'!$M$13</f>
        <v>4.6109999999999998</v>
      </c>
      <c r="D135" s="764">
        <f>'Section 11 data country'!$W$33</f>
        <v>186.05799999999999</v>
      </c>
      <c r="E135" s="766">
        <f>'Section 11 data country'!$X$33</f>
        <v>18.25</v>
      </c>
    </row>
    <row r="136" spans="2:5" ht="15" customHeight="1" x14ac:dyDescent="0.2">
      <c r="B136" s="763" t="s">
        <v>304</v>
      </c>
      <c r="C136" s="764">
        <f>'Section 11 data country'!$M$14</f>
        <v>12.366</v>
      </c>
      <c r="D136" s="764">
        <f>'Section 11 data country'!$W$34</f>
        <v>62.95</v>
      </c>
      <c r="E136" s="766">
        <f>'Section 11 data country'!$X$34</f>
        <v>23.77</v>
      </c>
    </row>
    <row r="137" spans="2:5" ht="15" customHeight="1" x14ac:dyDescent="0.2">
      <c r="B137" s="763" t="s">
        <v>291</v>
      </c>
      <c r="C137" s="764">
        <f>'Section 11 data country'!$M$15</f>
        <v>22.648</v>
      </c>
      <c r="D137" s="764">
        <f>'Section 11 data country'!$W$35</f>
        <v>53.656999999999996</v>
      </c>
      <c r="E137" s="766">
        <f>'Section 11 data country'!$X$35</f>
        <v>19.63</v>
      </c>
    </row>
    <row r="138" spans="2:5" ht="15" customHeight="1" x14ac:dyDescent="0.2">
      <c r="B138" s="763" t="s">
        <v>292</v>
      </c>
      <c r="C138" s="764">
        <f>'Section 11 data country'!$M$16</f>
        <v>30.393999999999998</v>
      </c>
      <c r="D138" s="764">
        <f>'Section 11 data country'!$W$36</f>
        <v>97.948999999999998</v>
      </c>
      <c r="E138" s="766">
        <f>'Section 11 data country'!$X$36</f>
        <v>11.88</v>
      </c>
    </row>
    <row r="139" spans="2:5" ht="15" customHeight="1" x14ac:dyDescent="0.2">
      <c r="B139" s="763" t="s">
        <v>293</v>
      </c>
      <c r="C139" s="764">
        <f>'Section 11 data country'!$M$17</f>
        <v>6.3620000000000001</v>
      </c>
      <c r="D139" s="764">
        <f>'Section 11 data country'!$W$37</f>
        <v>140.435</v>
      </c>
      <c r="E139" s="766">
        <f>'Section 11 data country'!$X$37</f>
        <v>19.27</v>
      </c>
    </row>
    <row r="140" spans="2:5" ht="15" customHeight="1" x14ac:dyDescent="0.2">
      <c r="B140" s="763" t="s">
        <v>294</v>
      </c>
      <c r="C140" s="764">
        <f>'Section 11 data country'!$M$18</f>
        <v>22.643000000000001</v>
      </c>
      <c r="D140" s="764">
        <f>'Section 11 data country'!$W$38</f>
        <v>71.281999999999996</v>
      </c>
      <c r="E140" s="766">
        <f>'Section 11 data country'!$X$38</f>
        <v>19.93</v>
      </c>
    </row>
    <row r="141" spans="2:5" ht="15" customHeight="1" x14ac:dyDescent="0.2">
      <c r="B141" s="763" t="s">
        <v>295</v>
      </c>
      <c r="C141" s="764">
        <f>'Section 11 data country'!$M$19</f>
        <v>36.796999999999997</v>
      </c>
      <c r="D141" s="764">
        <f>'Section 11 data country'!$W$39</f>
        <v>112.062</v>
      </c>
      <c r="E141" s="766">
        <f>'Section 11 data country'!$X$39</f>
        <v>12.19</v>
      </c>
    </row>
    <row r="142" spans="2:5" ht="15" customHeight="1" x14ac:dyDescent="0.2">
      <c r="B142" s="767" t="s">
        <v>296</v>
      </c>
      <c r="C142" s="768">
        <f>'Section 11 data country'!$M$20</f>
        <v>5.1870000000000003</v>
      </c>
      <c r="D142" s="768">
        <f>'Section 11 data country'!$W$40</f>
        <v>151.726</v>
      </c>
      <c r="E142" s="770">
        <f>'Section 11 data country'!$X$40</f>
        <v>11.05</v>
      </c>
    </row>
  </sheetData>
  <mergeCells count="73">
    <mergeCell ref="AG5:AI5"/>
    <mergeCell ref="B5:B7"/>
    <mergeCell ref="C5:E5"/>
    <mergeCell ref="F5:H5"/>
    <mergeCell ref="I5:K5"/>
    <mergeCell ref="L5:N5"/>
    <mergeCell ref="O5:Q5"/>
    <mergeCell ref="D6:E6"/>
    <mergeCell ref="G6:H6"/>
    <mergeCell ref="J6:K6"/>
    <mergeCell ref="M6:N6"/>
    <mergeCell ref="R5:T5"/>
    <mergeCell ref="U5:W5"/>
    <mergeCell ref="X5:Z5"/>
    <mergeCell ref="AA5:AC5"/>
    <mergeCell ref="AD5:AF5"/>
    <mergeCell ref="AH6:AI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P6:Q6"/>
    <mergeCell ref="S6:T6"/>
    <mergeCell ref="V6:W6"/>
    <mergeCell ref="Y6:Z6"/>
    <mergeCell ref="AB6:AC6"/>
    <mergeCell ref="AE6:AF6"/>
    <mergeCell ref="AD7:AE7"/>
    <mergeCell ref="AG7:AH7"/>
    <mergeCell ref="B25:B27"/>
    <mergeCell ref="C25:E25"/>
    <mergeCell ref="F25:H25"/>
    <mergeCell ref="D26:E26"/>
    <mergeCell ref="G26:H26"/>
    <mergeCell ref="C27:D27"/>
    <mergeCell ref="F27:G27"/>
    <mergeCell ref="B45:B47"/>
    <mergeCell ref="C45:E45"/>
    <mergeCell ref="F45:H45"/>
    <mergeCell ref="D46:E46"/>
    <mergeCell ref="G46:H46"/>
    <mergeCell ref="C47:D47"/>
    <mergeCell ref="F47:G47"/>
    <mergeCell ref="B65:B67"/>
    <mergeCell ref="C65:E65"/>
    <mergeCell ref="F65:H65"/>
    <mergeCell ref="D66:E66"/>
    <mergeCell ref="G66:H66"/>
    <mergeCell ref="C67:D67"/>
    <mergeCell ref="F67:G67"/>
    <mergeCell ref="B85:B87"/>
    <mergeCell ref="C85:E85"/>
    <mergeCell ref="F85:H85"/>
    <mergeCell ref="D86:E86"/>
    <mergeCell ref="G86:H86"/>
    <mergeCell ref="C87:D87"/>
    <mergeCell ref="F87:G87"/>
    <mergeCell ref="F105:H105"/>
    <mergeCell ref="D106:E106"/>
    <mergeCell ref="G106:H106"/>
    <mergeCell ref="C107:D107"/>
    <mergeCell ref="F107:G107"/>
    <mergeCell ref="B125:B127"/>
    <mergeCell ref="C125:E125"/>
    <mergeCell ref="D126:E126"/>
    <mergeCell ref="C127:D127"/>
    <mergeCell ref="B105:B107"/>
    <mergeCell ref="C105:E10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" id="{2B4CF3AC-E358-4C5E-8D73-E87E84F7E291}">
            <xm:f>IF($E8&gt;Sheet1!$F$4,1,)</xm:f>
            <x14:dxf>
              <font>
                <color rgb="FF808080"/>
              </font>
            </x14:dxf>
          </x14:cfRule>
          <xm:sqref>D8:E22</xm:sqref>
        </x14:conditionalFormatting>
        <x14:conditionalFormatting xmlns:xm="http://schemas.microsoft.com/office/excel/2006/main">
          <x14:cfRule type="expression" priority="43" id="{55A8432F-4B8C-4553-922E-A7C851B8AE67}">
            <xm:f>IF($H8&gt;Sheet1!$F$4,1,)</xm:f>
            <x14:dxf>
              <font>
                <color rgb="FF808080"/>
              </font>
            </x14:dxf>
          </x14:cfRule>
          <x14:cfRule type="cellIs" priority="44" operator="between" id="{A42AEDDB-1D82-4296-8696-1925BE9DBD14}">
            <xm:f>Sheet1!$D$4</xm:f>
            <xm:f>Sheet1!$E$4</xm:f>
            <x14:dxf>
              <numFmt numFmtId="173" formatCode="&quot;&lt; 1&quot;"/>
            </x14:dxf>
          </x14:cfRule>
          <xm:sqref>G8:H22</xm:sqref>
        </x14:conditionalFormatting>
        <x14:conditionalFormatting xmlns:xm="http://schemas.microsoft.com/office/excel/2006/main">
          <x14:cfRule type="expression" priority="32" id="{C4AC1E8B-22C4-40D1-BBC9-335FBE3D7CA9}">
            <xm:f>IF($K8&gt;Sheet1!$F$4,1,)</xm:f>
            <x14:dxf>
              <font>
                <color rgb="FF808080"/>
              </font>
            </x14:dxf>
          </x14:cfRule>
          <xm:sqref>J8:K22</xm:sqref>
        </x14:conditionalFormatting>
        <x14:conditionalFormatting xmlns:xm="http://schemas.microsoft.com/office/excel/2006/main">
          <x14:cfRule type="expression" priority="31" id="{759B26EA-E9E7-4319-91FE-424FFB91A966}">
            <xm:f>IF($N8&gt;Sheet1!$F$4,1,)</xm:f>
            <x14:dxf>
              <font>
                <color rgb="FF808080"/>
              </font>
            </x14:dxf>
          </x14:cfRule>
          <xm:sqref>M8:N22</xm:sqref>
        </x14:conditionalFormatting>
        <x14:conditionalFormatting xmlns:xm="http://schemas.microsoft.com/office/excel/2006/main">
          <x14:cfRule type="expression" priority="30" id="{313AACEA-BD82-423C-B931-90AD8A816834}">
            <xm:f>IF($Q8&gt;Sheet1!$F$4,1,)</xm:f>
            <x14:dxf>
              <font>
                <color rgb="FF808080"/>
              </font>
            </x14:dxf>
          </x14:cfRule>
          <xm:sqref>P8:Q22</xm:sqref>
        </x14:conditionalFormatting>
        <x14:conditionalFormatting xmlns:xm="http://schemas.microsoft.com/office/excel/2006/main">
          <x14:cfRule type="expression" priority="29" id="{B58E4075-F102-4AC3-B53D-640200836E49}">
            <xm:f>IF($T8&gt;Sheet1!$F$4,1,)</xm:f>
            <x14:dxf>
              <font>
                <color rgb="FF808080"/>
              </font>
            </x14:dxf>
          </x14:cfRule>
          <xm:sqref>S8:T22</xm:sqref>
        </x14:conditionalFormatting>
        <x14:conditionalFormatting xmlns:xm="http://schemas.microsoft.com/office/excel/2006/main">
          <x14:cfRule type="expression" priority="28" id="{B43CE286-E4A9-4F51-97CC-6CD9322A7DE7}">
            <xm:f>IF($W8&gt;Sheet1!$F$4,1,)</xm:f>
            <x14:dxf>
              <font>
                <color rgb="FF808080"/>
              </font>
            </x14:dxf>
          </x14:cfRule>
          <xm:sqref>V8:W22</xm:sqref>
        </x14:conditionalFormatting>
        <x14:conditionalFormatting xmlns:xm="http://schemas.microsoft.com/office/excel/2006/main">
          <x14:cfRule type="expression" priority="27" id="{CE8C8823-F404-43CA-9D23-A717F5E290EC}">
            <xm:f>IF($Z8&gt;Sheet1!$F$4,1,)</xm:f>
            <x14:dxf>
              <font>
                <color rgb="FF808080"/>
              </font>
            </x14:dxf>
          </x14:cfRule>
          <xm:sqref>Y8:Z22</xm:sqref>
        </x14:conditionalFormatting>
        <x14:conditionalFormatting xmlns:xm="http://schemas.microsoft.com/office/excel/2006/main">
          <x14:cfRule type="expression" priority="26" id="{0535778E-0497-4BD0-8FB9-840A47FF6985}">
            <xm:f>IF($AC8&gt;Sheet1!$F$4,1,)</xm:f>
            <x14:dxf>
              <font>
                <color rgb="FF808080"/>
              </font>
            </x14:dxf>
          </x14:cfRule>
          <xm:sqref>AB8:AC22</xm:sqref>
        </x14:conditionalFormatting>
        <x14:conditionalFormatting xmlns:xm="http://schemas.microsoft.com/office/excel/2006/main">
          <x14:cfRule type="expression" priority="25" id="{19F3EDA3-7CF0-4211-A170-F48634714274}">
            <xm:f>IF($AF8&gt;Sheet1!$F$4,1,)</xm:f>
            <x14:dxf>
              <font>
                <color rgb="FF808080"/>
              </font>
            </x14:dxf>
          </x14:cfRule>
          <xm:sqref>AE8:AF22</xm:sqref>
        </x14:conditionalFormatting>
        <x14:conditionalFormatting xmlns:xm="http://schemas.microsoft.com/office/excel/2006/main">
          <x14:cfRule type="expression" priority="24" id="{4925C788-EA49-47C8-ACA9-A99C28CE9669}">
            <xm:f>IF($AI8&gt;Sheet1!$F$4,1,)</xm:f>
            <x14:dxf>
              <font>
                <color rgb="FF808080"/>
              </font>
            </x14:dxf>
          </x14:cfRule>
          <xm:sqref>AH8:AI22</xm:sqref>
        </x14:conditionalFormatting>
        <x14:conditionalFormatting xmlns:xm="http://schemas.microsoft.com/office/excel/2006/main">
          <x14:cfRule type="cellIs" priority="23" operator="between" id="{B129FE8F-8D68-4B52-BC9E-9BF03CF97A4B}">
            <xm:f>Sheet1!$D$4</xm:f>
            <xm:f>Sheet1!$E$4</xm:f>
            <x14:dxf>
              <numFmt numFmtId="173" formatCode="&quot;&lt; 1&quot;"/>
            </x14:dxf>
          </x14:cfRule>
          <xm:sqref>C8:D22 F8:G22 I8:J22 L8:M22 O8:P22 R8:S22 U8:V22 X8:Y22 AA8:AB22 AD8:AE22 AG8:AH22</xm:sqref>
        </x14:conditionalFormatting>
        <x14:conditionalFormatting xmlns:xm="http://schemas.microsoft.com/office/excel/2006/main">
          <x14:cfRule type="expression" priority="22" id="{7316D2EF-06D9-45BB-B57A-7FEAD9D836E2}">
            <xm:f>IF($E28&gt;Sheet1!$F$4,1,)</xm:f>
            <x14:dxf>
              <font>
                <color rgb="FF808080"/>
              </font>
            </x14:dxf>
          </x14:cfRule>
          <xm:sqref>D28:E42</xm:sqref>
        </x14:conditionalFormatting>
        <x14:conditionalFormatting xmlns:xm="http://schemas.microsoft.com/office/excel/2006/main">
          <x14:cfRule type="expression" priority="20" id="{6B05FD79-99A5-4BF8-A605-0B6E2F0BD793}">
            <xm:f>IF($H28&gt;Sheet1!$F$4,1,)</xm:f>
            <x14:dxf>
              <font>
                <color rgb="FF808080"/>
              </font>
            </x14:dxf>
          </x14:cfRule>
          <x14:cfRule type="cellIs" priority="21" operator="between" id="{6D751ACA-9196-4C19-81BF-AF4FA4F851B9}">
            <xm:f>Sheet1!$D$4</xm:f>
            <xm:f>Sheet1!$E$4</xm:f>
            <x14:dxf>
              <numFmt numFmtId="173" formatCode="&quot;&lt; 1&quot;"/>
            </x14:dxf>
          </x14:cfRule>
          <xm:sqref>G28:H42</xm:sqref>
        </x14:conditionalFormatting>
        <x14:conditionalFormatting xmlns:xm="http://schemas.microsoft.com/office/excel/2006/main">
          <x14:cfRule type="cellIs" priority="19" operator="between" id="{D9FA5489-1E01-43F1-9B2B-5095BA012902}">
            <xm:f>Sheet1!$D$4</xm:f>
            <xm:f>Sheet1!$E$4</xm:f>
            <x14:dxf>
              <numFmt numFmtId="173" formatCode="&quot;&lt; 1&quot;"/>
            </x14:dxf>
          </x14:cfRule>
          <xm:sqref>C28:D42 F28:G42</xm:sqref>
        </x14:conditionalFormatting>
        <x14:conditionalFormatting xmlns:xm="http://schemas.microsoft.com/office/excel/2006/main">
          <x14:cfRule type="expression" priority="18" id="{ACF955D4-F16E-4E0D-815A-B1C7762BB6DC}">
            <xm:f>IF($E48&gt;Sheet1!$F$4,1,)</xm:f>
            <x14:dxf>
              <font>
                <color rgb="FF808080"/>
              </font>
            </x14:dxf>
          </x14:cfRule>
          <xm:sqref>D48:E62</xm:sqref>
        </x14:conditionalFormatting>
        <x14:conditionalFormatting xmlns:xm="http://schemas.microsoft.com/office/excel/2006/main">
          <x14:cfRule type="expression" priority="16" id="{259C7827-7770-4F48-816A-13031B768BE3}">
            <xm:f>IF($H48&gt;Sheet1!$F$4,1,)</xm:f>
            <x14:dxf>
              <font>
                <color rgb="FF808080"/>
              </font>
            </x14:dxf>
          </x14:cfRule>
          <x14:cfRule type="cellIs" priority="17" operator="between" id="{125B8F98-2509-451A-A360-7C89A2FB0CB9}">
            <xm:f>Sheet1!$D$4</xm:f>
            <xm:f>Sheet1!$E$4</xm:f>
            <x14:dxf>
              <numFmt numFmtId="173" formatCode="&quot;&lt; 1&quot;"/>
            </x14:dxf>
          </x14:cfRule>
          <xm:sqref>G48:H62</xm:sqref>
        </x14:conditionalFormatting>
        <x14:conditionalFormatting xmlns:xm="http://schemas.microsoft.com/office/excel/2006/main">
          <x14:cfRule type="cellIs" priority="15" operator="between" id="{6B5BA772-DAA0-41D4-9283-42D30B0523B8}">
            <xm:f>Sheet1!$D$4</xm:f>
            <xm:f>Sheet1!$E$4</xm:f>
            <x14:dxf>
              <numFmt numFmtId="173" formatCode="&quot;&lt; 1&quot;"/>
            </x14:dxf>
          </x14:cfRule>
          <xm:sqref>C48:D62 F48:G62</xm:sqref>
        </x14:conditionalFormatting>
        <x14:conditionalFormatting xmlns:xm="http://schemas.microsoft.com/office/excel/2006/main">
          <x14:cfRule type="expression" priority="14" id="{7B4CE53A-B862-4FC3-B0C1-23421840613C}">
            <xm:f>IF($E68&gt;Sheet1!$F$4,1,)</xm:f>
            <x14:dxf>
              <font>
                <color rgb="FF808080"/>
              </font>
            </x14:dxf>
          </x14:cfRule>
          <xm:sqref>D68:E82</xm:sqref>
        </x14:conditionalFormatting>
        <x14:conditionalFormatting xmlns:xm="http://schemas.microsoft.com/office/excel/2006/main">
          <x14:cfRule type="expression" priority="12" id="{D0B78E71-EE4E-40AA-8F6A-22F2EA265204}">
            <xm:f>IF($H68&gt;Sheet1!$F$4,1,)</xm:f>
            <x14:dxf>
              <font>
                <color rgb="FF808080"/>
              </font>
            </x14:dxf>
          </x14:cfRule>
          <x14:cfRule type="cellIs" priority="13" operator="between" id="{C22D0FBF-CE12-4F19-B63E-51AE061A2103}">
            <xm:f>Sheet1!$D$4</xm:f>
            <xm:f>Sheet1!$E$4</xm:f>
            <x14:dxf>
              <numFmt numFmtId="173" formatCode="&quot;&lt; 1&quot;"/>
            </x14:dxf>
          </x14:cfRule>
          <xm:sqref>G68:H82</xm:sqref>
        </x14:conditionalFormatting>
        <x14:conditionalFormatting xmlns:xm="http://schemas.microsoft.com/office/excel/2006/main">
          <x14:cfRule type="cellIs" priority="11" operator="between" id="{0F0DAD1D-4C46-4A58-81F6-477E7D006212}">
            <xm:f>Sheet1!$D$4</xm:f>
            <xm:f>Sheet1!$E$4</xm:f>
            <x14:dxf>
              <numFmt numFmtId="173" formatCode="&quot;&lt; 1&quot;"/>
            </x14:dxf>
          </x14:cfRule>
          <xm:sqref>C68:D82 F68:G82</xm:sqref>
        </x14:conditionalFormatting>
        <x14:conditionalFormatting xmlns:xm="http://schemas.microsoft.com/office/excel/2006/main">
          <x14:cfRule type="expression" priority="10" id="{8F0010C3-255A-4417-8A3C-77E6DC8434CA}">
            <xm:f>IF($E88&gt;Sheet1!$F$4,1,)</xm:f>
            <x14:dxf>
              <font>
                <color rgb="FF808080"/>
              </font>
            </x14:dxf>
          </x14:cfRule>
          <xm:sqref>D88:E102</xm:sqref>
        </x14:conditionalFormatting>
        <x14:conditionalFormatting xmlns:xm="http://schemas.microsoft.com/office/excel/2006/main">
          <x14:cfRule type="expression" priority="8" id="{E3B4CDAF-4E22-4E19-832F-844B8CB7A7F4}">
            <xm:f>IF($H88&gt;Sheet1!$F$4,1,)</xm:f>
            <x14:dxf>
              <font>
                <color rgb="FF808080"/>
              </font>
            </x14:dxf>
          </x14:cfRule>
          <x14:cfRule type="cellIs" priority="9" operator="between" id="{BCC9C769-E30B-465B-8E7C-B0A4A521D90D}">
            <xm:f>Sheet1!$D$4</xm:f>
            <xm:f>Sheet1!$E$4</xm:f>
            <x14:dxf>
              <numFmt numFmtId="173" formatCode="&quot;&lt; 1&quot;"/>
            </x14:dxf>
          </x14:cfRule>
          <xm:sqref>G88:H102</xm:sqref>
        </x14:conditionalFormatting>
        <x14:conditionalFormatting xmlns:xm="http://schemas.microsoft.com/office/excel/2006/main">
          <x14:cfRule type="cellIs" priority="7" operator="between" id="{3397F48E-7370-422B-ABEE-EB2782EF4393}">
            <xm:f>Sheet1!$D$4</xm:f>
            <xm:f>Sheet1!$E$4</xm:f>
            <x14:dxf>
              <numFmt numFmtId="173" formatCode="&quot;&lt; 1&quot;"/>
            </x14:dxf>
          </x14:cfRule>
          <xm:sqref>C88:D102 F88:G102</xm:sqref>
        </x14:conditionalFormatting>
        <x14:conditionalFormatting xmlns:xm="http://schemas.microsoft.com/office/excel/2006/main">
          <x14:cfRule type="expression" priority="6" id="{090F6441-D152-458A-98AD-E44C2DBA2E5D}">
            <xm:f>IF($E108&gt;Sheet1!$F$4,1,)</xm:f>
            <x14:dxf>
              <font>
                <color rgb="FF808080"/>
              </font>
            </x14:dxf>
          </x14:cfRule>
          <xm:sqref>D108:E122</xm:sqref>
        </x14:conditionalFormatting>
        <x14:conditionalFormatting xmlns:xm="http://schemas.microsoft.com/office/excel/2006/main">
          <x14:cfRule type="expression" priority="4" id="{66F2767B-9C9D-4C68-998A-248F9AEAB895}">
            <xm:f>IF($H108&gt;Sheet1!$F$4,1,)</xm:f>
            <x14:dxf>
              <font>
                <color rgb="FF808080"/>
              </font>
            </x14:dxf>
          </x14:cfRule>
          <x14:cfRule type="cellIs" priority="5" operator="between" id="{A6A2AB89-A543-475F-81ED-6979F12BBDCE}">
            <xm:f>Sheet1!$D$4</xm:f>
            <xm:f>Sheet1!$E$4</xm:f>
            <x14:dxf>
              <numFmt numFmtId="173" formatCode="&quot;&lt; 1&quot;"/>
            </x14:dxf>
          </x14:cfRule>
          <xm:sqref>G108:H122</xm:sqref>
        </x14:conditionalFormatting>
        <x14:conditionalFormatting xmlns:xm="http://schemas.microsoft.com/office/excel/2006/main">
          <x14:cfRule type="cellIs" priority="3" operator="between" id="{861D6994-FABC-4536-BE1B-B7B5EE581A17}">
            <xm:f>Sheet1!$D$4</xm:f>
            <xm:f>Sheet1!$E$4</xm:f>
            <x14:dxf>
              <numFmt numFmtId="173" formatCode="&quot;&lt; 1&quot;"/>
            </x14:dxf>
          </x14:cfRule>
          <xm:sqref>C108:D122 F108:G122</xm:sqref>
        </x14:conditionalFormatting>
        <x14:conditionalFormatting xmlns:xm="http://schemas.microsoft.com/office/excel/2006/main">
          <x14:cfRule type="expression" priority="2" id="{F2ED4D0C-AC60-4FDB-8B1D-76924F05B39C}">
            <xm:f>IF($E128&gt;Sheet1!$F$4,1,)</xm:f>
            <x14:dxf>
              <font>
                <color rgb="FF808080"/>
              </font>
            </x14:dxf>
          </x14:cfRule>
          <xm:sqref>D128:E142</xm:sqref>
        </x14:conditionalFormatting>
        <x14:conditionalFormatting xmlns:xm="http://schemas.microsoft.com/office/excel/2006/main">
          <x14:cfRule type="cellIs" priority="1" operator="between" id="{CC3AA291-C5BB-4517-9EF6-CF7D08DE414E}">
            <xm:f>Sheet1!$D$4</xm:f>
            <xm:f>Sheet1!$E$4</xm:f>
            <x14:dxf>
              <numFmt numFmtId="173" formatCode="&quot;&lt; 1&quot;"/>
            </x14:dxf>
          </x14:cfRule>
          <xm:sqref>C128:D142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Index!$E$128</f>
        <v>Tree health - ash</v>
      </c>
    </row>
  </sheetData>
  <hyperlinks>
    <hyperlink ref="A1" location="Index!B90" display="Return to index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7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427</v>
      </c>
      <c r="C3" t="s">
        <v>397</v>
      </c>
    </row>
    <row r="5" spans="2:6" ht="15" customHeight="1" x14ac:dyDescent="0.2">
      <c r="B5" s="1147" t="s">
        <v>267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48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18"/>
      <c r="F7" s="92"/>
    </row>
    <row r="8" spans="2:6" ht="15" customHeight="1" x14ac:dyDescent="0.2">
      <c r="B8" s="99" t="s">
        <v>335</v>
      </c>
      <c r="C8" s="840">
        <f>'Section 12 data'!$C$13</f>
        <v>0.1996</v>
      </c>
      <c r="D8" s="841">
        <f>'Section 12 data'!$D$13</f>
        <v>14.826370000000001</v>
      </c>
      <c r="E8" s="205">
        <f>'Section 12 data'!$E$13</f>
        <v>6.8243222314565894</v>
      </c>
      <c r="F8" s="842">
        <f>SUM(C8,D8)</f>
        <v>15.025970000000001</v>
      </c>
    </row>
    <row r="9" spans="2:6" ht="15" customHeight="1" x14ac:dyDescent="0.2">
      <c r="B9" s="100" t="s">
        <v>336</v>
      </c>
      <c r="C9" s="840">
        <f>'Section 12 data'!$C$14</f>
        <v>0.21994999999999998</v>
      </c>
      <c r="D9" s="841">
        <f>'Section 12 data'!$D$14</f>
        <v>17.38409</v>
      </c>
      <c r="E9" s="205">
        <f>'Section 12 data'!$E$14</f>
        <v>7.3610522279005357</v>
      </c>
      <c r="F9" s="842">
        <f t="shared" ref="F9:F15" si="0">SUM(C9,D9)</f>
        <v>17.604040000000001</v>
      </c>
    </row>
    <row r="10" spans="2:6" ht="15" customHeight="1" x14ac:dyDescent="0.2">
      <c r="B10" s="99" t="s">
        <v>337</v>
      </c>
      <c r="C10" s="840">
        <f>'Section 12 data'!$C$15</f>
        <v>0.21438000000000001</v>
      </c>
      <c r="D10" s="841">
        <f>'Section 12 data'!$D$15</f>
        <v>24.32687</v>
      </c>
      <c r="E10" s="205">
        <f>'Section 12 data'!$E$15</f>
        <v>5.0280527847704661</v>
      </c>
      <c r="F10" s="842">
        <f t="shared" si="0"/>
        <v>24.541249999999998</v>
      </c>
    </row>
    <row r="11" spans="2:6" ht="15" customHeight="1" x14ac:dyDescent="0.2">
      <c r="B11" s="99" t="s">
        <v>338</v>
      </c>
      <c r="C11" s="840">
        <f>'Section 12 data'!$C$16</f>
        <v>0.87028000000000005</v>
      </c>
      <c r="D11" s="841">
        <f>'Section 12 data'!$D$16</f>
        <v>23.588710000000003</v>
      </c>
      <c r="E11" s="205">
        <f>'Section 12 data'!$E$16</f>
        <v>6.1877634292655497</v>
      </c>
      <c r="F11" s="842">
        <f t="shared" si="0"/>
        <v>24.458990000000004</v>
      </c>
    </row>
    <row r="12" spans="2:6" ht="15" customHeight="1" x14ac:dyDescent="0.2">
      <c r="B12" s="99" t="s">
        <v>339</v>
      </c>
      <c r="C12" s="840">
        <f>'Section 12 data'!$C$17</f>
        <v>0.96494000000000002</v>
      </c>
      <c r="D12" s="841">
        <f>'Section 12 data'!$D$17</f>
        <v>20.332699999999999</v>
      </c>
      <c r="E12" s="205">
        <f>'Section 12 data'!$E$17</f>
        <v>6.9531485412502692</v>
      </c>
      <c r="F12" s="842">
        <f t="shared" si="0"/>
        <v>21.297639999999998</v>
      </c>
    </row>
    <row r="13" spans="2:6" ht="15" customHeight="1" x14ac:dyDescent="0.2">
      <c r="B13" s="99" t="s">
        <v>340</v>
      </c>
      <c r="C13" s="840">
        <f>'Section 12 data'!$C$18</f>
        <v>0.37048000000000003</v>
      </c>
      <c r="D13" s="841">
        <f>'Section 12 data'!$D$18</f>
        <v>13.89418</v>
      </c>
      <c r="E13" s="205">
        <f>'Section 12 data'!$E$18</f>
        <v>8.5735632089842699</v>
      </c>
      <c r="F13" s="842">
        <f t="shared" si="0"/>
        <v>14.264660000000001</v>
      </c>
    </row>
    <row r="14" spans="2:6" ht="15" customHeight="1" x14ac:dyDescent="0.2">
      <c r="B14" s="99" t="s">
        <v>268</v>
      </c>
      <c r="C14" s="840">
        <f>'Section 12 data'!$C$19</f>
        <v>0.10539000000000001</v>
      </c>
      <c r="D14" s="841">
        <f>'Section 12 data'!$D$19</f>
        <v>3.2650200000000003</v>
      </c>
      <c r="E14" s="205">
        <f>'Section 12 data'!$E$19</f>
        <v>16.626469115814434</v>
      </c>
      <c r="F14" s="842">
        <f t="shared" si="0"/>
        <v>3.3704100000000001</v>
      </c>
    </row>
    <row r="15" spans="2:6" ht="15" customHeight="1" x14ac:dyDescent="0.2">
      <c r="B15" s="101" t="s">
        <v>80</v>
      </c>
      <c r="C15" s="102">
        <f>'Eng Table 10'!C21</f>
        <v>2.9447799999999997</v>
      </c>
      <c r="D15" s="102">
        <f>'Eng Table 10'!D21</f>
        <v>117.61790000000001</v>
      </c>
      <c r="E15" s="321">
        <f>'Eng Table 10'!E21</f>
        <v>2.7270042930829193</v>
      </c>
      <c r="F15" s="102">
        <f t="shared" si="0"/>
        <v>120.56268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06D4CA-F8BA-4D19-BEB0-CA5B6248F3FA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FA197BFA-39C3-4361-BFF0-E6043DE449B8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7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395</v>
      </c>
      <c r="C3" t="s">
        <v>398</v>
      </c>
    </row>
    <row r="5" spans="2:6" ht="15" customHeight="1" x14ac:dyDescent="0.2">
      <c r="B5" s="1150" t="s">
        <v>269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51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93"/>
      <c r="F7" s="92"/>
    </row>
    <row r="8" spans="2:6" ht="15" customHeight="1" x14ac:dyDescent="0.2">
      <c r="B8" s="94" t="s">
        <v>341</v>
      </c>
      <c r="C8" s="836">
        <f>'Section 12 data'!$C$24</f>
        <v>0.26762000000000002</v>
      </c>
      <c r="D8" s="837">
        <f>'Section 12 data'!$D$24</f>
        <v>12.230319999999999</v>
      </c>
      <c r="E8" s="205">
        <f>'Section 12 data'!$E$24</f>
        <v>7.1312508288462668</v>
      </c>
      <c r="F8" s="838">
        <f>SUM(C8,D8)</f>
        <v>12.49794</v>
      </c>
    </row>
    <row r="9" spans="2:6" ht="15" customHeight="1" x14ac:dyDescent="0.2">
      <c r="B9" s="95" t="s">
        <v>342</v>
      </c>
      <c r="C9" s="836">
        <f>'Section 12 data'!$C$25</f>
        <v>0.22765999999999997</v>
      </c>
      <c r="D9" s="837">
        <f>'Section 12 data'!$D$25</f>
        <v>19.082089999999997</v>
      </c>
      <c r="E9" s="205">
        <f>'Section 12 data'!$E$25</f>
        <v>6.4873677221231469</v>
      </c>
      <c r="F9" s="838">
        <f t="shared" ref="F9:F17" si="0">SUM(C9,D9)</f>
        <v>19.309749999999998</v>
      </c>
    </row>
    <row r="10" spans="2:6" ht="15" customHeight="1" x14ac:dyDescent="0.2">
      <c r="B10" s="96" t="s">
        <v>343</v>
      </c>
      <c r="C10" s="836">
        <f>'Section 12 data'!$C$26</f>
        <v>0.49251</v>
      </c>
      <c r="D10" s="837">
        <f>'Section 12 data'!$D$26</f>
        <v>13.457370000000001</v>
      </c>
      <c r="E10" s="205">
        <f>'Section 12 data'!$E$26</f>
        <v>8.3462525343739369</v>
      </c>
      <c r="F10" s="838">
        <f t="shared" si="0"/>
        <v>13.94988</v>
      </c>
    </row>
    <row r="11" spans="2:6" ht="15" customHeight="1" x14ac:dyDescent="0.2">
      <c r="B11" s="94" t="s">
        <v>344</v>
      </c>
      <c r="C11" s="836">
        <f>'Section 12 data'!$C$27</f>
        <v>0.49441000000000007</v>
      </c>
      <c r="D11" s="837">
        <f>'Section 12 data'!$D$27</f>
        <v>12.27674</v>
      </c>
      <c r="E11" s="205">
        <f>'Section 12 data'!$E$27</f>
        <v>7.8722618782835134</v>
      </c>
      <c r="F11" s="838">
        <f t="shared" si="0"/>
        <v>12.77115</v>
      </c>
    </row>
    <row r="12" spans="2:6" ht="15" customHeight="1" x14ac:dyDescent="0.2">
      <c r="B12" s="94" t="s">
        <v>345</v>
      </c>
      <c r="C12" s="836">
        <f>'Section 12 data'!$C$28</f>
        <v>0.64386999999999994</v>
      </c>
      <c r="D12" s="837">
        <f>'Section 12 data'!$D$28</f>
        <v>24.103330000000003</v>
      </c>
      <c r="E12" s="205">
        <f>'Section 12 data'!$E$28</f>
        <v>5.7753232301777997</v>
      </c>
      <c r="F12" s="838">
        <f t="shared" si="0"/>
        <v>24.747200000000003</v>
      </c>
    </row>
    <row r="13" spans="2:6" ht="15" customHeight="1" x14ac:dyDescent="0.2">
      <c r="B13" s="94" t="s">
        <v>346</v>
      </c>
      <c r="C13" s="836">
        <f>'Section 12 data'!$C$29</f>
        <v>0.43122999999999995</v>
      </c>
      <c r="D13" s="837">
        <f>'Section 12 data'!$D$29</f>
        <v>17.13289</v>
      </c>
      <c r="E13" s="205">
        <f>'Section 12 data'!$E$29</f>
        <v>7.9564296376037698</v>
      </c>
      <c r="F13" s="838">
        <f t="shared" si="0"/>
        <v>17.564119999999999</v>
      </c>
    </row>
    <row r="14" spans="2:6" ht="15" customHeight="1" x14ac:dyDescent="0.2">
      <c r="B14" s="94" t="s">
        <v>347</v>
      </c>
      <c r="C14" s="836">
        <f>'Section 12 data'!$C$30</f>
        <v>0.29177000000000003</v>
      </c>
      <c r="D14" s="837">
        <f>'Section 12 data'!$D$30</f>
        <v>14.03134</v>
      </c>
      <c r="E14" s="205">
        <f>'Section 12 data'!$E$30</f>
        <v>7.9138010186814478</v>
      </c>
      <c r="F14" s="838">
        <f t="shared" si="0"/>
        <v>14.32311</v>
      </c>
    </row>
    <row r="15" spans="2:6" ht="15" customHeight="1" x14ac:dyDescent="0.2">
      <c r="B15" s="94" t="s">
        <v>348</v>
      </c>
      <c r="C15" s="836">
        <f>'Section 12 data'!$C$31</f>
        <v>5.62E-2</v>
      </c>
      <c r="D15" s="837">
        <f>'Section 12 data'!$D$31</f>
        <v>3.6919899999999997</v>
      </c>
      <c r="E15" s="205">
        <f>'Section 12 data'!$E$31</f>
        <v>17.5144791785841</v>
      </c>
      <c r="F15" s="838">
        <f t="shared" si="0"/>
        <v>3.7481899999999997</v>
      </c>
    </row>
    <row r="16" spans="2:6" ht="15" customHeight="1" x14ac:dyDescent="0.2">
      <c r="B16" s="94" t="s">
        <v>270</v>
      </c>
      <c r="C16" s="836">
        <f>'Section 12 data'!$C$32</f>
        <v>3.9450000000000006E-2</v>
      </c>
      <c r="D16" s="837">
        <f>'Section 12 data'!$D$32</f>
        <v>1.6118200000000003</v>
      </c>
      <c r="E16" s="205">
        <f>'Section 12 data'!$E$32</f>
        <v>20.539715228249953</v>
      </c>
      <c r="F16" s="838">
        <f t="shared" si="0"/>
        <v>1.6512700000000002</v>
      </c>
    </row>
    <row r="17" spans="2:6" ht="15" customHeight="1" x14ac:dyDescent="0.2">
      <c r="B17" s="97" t="s">
        <v>80</v>
      </c>
      <c r="C17" s="839">
        <f>'Eng Table 10'!C21</f>
        <v>2.9447799999999997</v>
      </c>
      <c r="D17" s="839">
        <f>'Eng Table 10'!D21</f>
        <v>117.61790000000001</v>
      </c>
      <c r="E17" s="321">
        <f>'Eng Table 10'!E21</f>
        <v>2.7270042930829193</v>
      </c>
      <c r="F17" s="839">
        <f t="shared" si="0"/>
        <v>120.56268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7833E0-D97D-4A63-BA9B-06C29C0FEA58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2293B03A-307B-4E68-A7BE-D54C6328DDDD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7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662</v>
      </c>
      <c r="C3" t="s">
        <v>399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75" t="s">
        <v>326</v>
      </c>
      <c r="D6" s="75" t="s">
        <v>326</v>
      </c>
      <c r="E6" s="19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12 data'!$J$13</f>
        <v>3.1E-2</v>
      </c>
      <c r="D8" s="829">
        <f>'Section 12 data'!$K$13</f>
        <v>28.028749999999999</v>
      </c>
      <c r="E8" s="205">
        <f>'Section 12 data'!$L$13</f>
        <v>20.335545581444944</v>
      </c>
      <c r="F8" s="822">
        <f>SUM(C8,D8)</f>
        <v>28.059749999999998</v>
      </c>
    </row>
    <row r="9" spans="2:6" ht="15" customHeight="1" x14ac:dyDescent="0.2">
      <c r="B9" s="82" t="s">
        <v>336</v>
      </c>
      <c r="C9" s="67">
        <f>'Section 12 data'!$J$14</f>
        <v>2.528</v>
      </c>
      <c r="D9" s="829">
        <f>'Section 12 data'!$K$14</f>
        <v>814.87194</v>
      </c>
      <c r="E9" s="205">
        <f>'Section 12 data'!$L$14</f>
        <v>11.794961392862588</v>
      </c>
      <c r="F9" s="822">
        <f t="shared" ref="F9:F15" si="0">SUM(C9,D9)</f>
        <v>817.39994000000002</v>
      </c>
    </row>
    <row r="10" spans="2:6" ht="15" customHeight="1" x14ac:dyDescent="0.2">
      <c r="B10" s="81" t="s">
        <v>337</v>
      </c>
      <c r="C10" s="67">
        <f>'Section 12 data'!$J$15</f>
        <v>20.507999999999999</v>
      </c>
      <c r="D10" s="829">
        <f>'Section 12 data'!$K$15</f>
        <v>3511.54792</v>
      </c>
      <c r="E10" s="205">
        <f>'Section 12 data'!$L$15</f>
        <v>6.5211645403459997</v>
      </c>
      <c r="F10" s="822">
        <f t="shared" si="0"/>
        <v>3532.0559199999998</v>
      </c>
    </row>
    <row r="11" spans="2:6" ht="15" customHeight="1" x14ac:dyDescent="0.2">
      <c r="B11" s="81" t="s">
        <v>338</v>
      </c>
      <c r="C11" s="67">
        <f>'Section 12 data'!$J$16</f>
        <v>134.38800000000001</v>
      </c>
      <c r="D11" s="829">
        <f>'Section 12 data'!$K$16</f>
        <v>6234.1544299999996</v>
      </c>
      <c r="E11" s="205">
        <f>'Section 12 data'!$L$16</f>
        <v>7.05523710716969</v>
      </c>
      <c r="F11" s="822">
        <f t="shared" si="0"/>
        <v>6368.5424299999995</v>
      </c>
    </row>
    <row r="12" spans="2:6" ht="15" customHeight="1" x14ac:dyDescent="0.2">
      <c r="B12" s="81" t="s">
        <v>339</v>
      </c>
      <c r="C12" s="67">
        <f>'Section 12 data'!$J$17</f>
        <v>165.92099999999999</v>
      </c>
      <c r="D12" s="829">
        <f>'Section 12 data'!$K$17</f>
        <v>7227.3456699999997</v>
      </c>
      <c r="E12" s="205">
        <f>'Section 12 data'!$L$17</f>
        <v>8.0357498335083157</v>
      </c>
      <c r="F12" s="822">
        <f t="shared" si="0"/>
        <v>7393.26667</v>
      </c>
    </row>
    <row r="13" spans="2:6" ht="15" customHeight="1" x14ac:dyDescent="0.2">
      <c r="B13" s="81" t="s">
        <v>340</v>
      </c>
      <c r="C13" s="67">
        <f>'Section 12 data'!$J$18</f>
        <v>70.367999999999995</v>
      </c>
      <c r="D13" s="829">
        <f>'Section 12 data'!$K$18</f>
        <v>6502.9173200000005</v>
      </c>
      <c r="E13" s="205">
        <f>'Section 12 data'!$L$18</f>
        <v>11.435813659989909</v>
      </c>
      <c r="F13" s="822">
        <f t="shared" si="0"/>
        <v>6573.2853200000009</v>
      </c>
    </row>
    <row r="14" spans="2:6" ht="15" customHeight="1" x14ac:dyDescent="0.2">
      <c r="B14" s="81" t="s">
        <v>268</v>
      </c>
      <c r="C14" s="67">
        <f>'Section 12 data'!$J$19</f>
        <v>23.563000000000002</v>
      </c>
      <c r="D14" s="829">
        <f>'Section 12 data'!$K$19</f>
        <v>2213.6504599999998</v>
      </c>
      <c r="E14" s="205">
        <f>'Section 12 data'!$L$19</f>
        <v>22.900557661868849</v>
      </c>
      <c r="F14" s="822">
        <f t="shared" si="0"/>
        <v>2237.2134599999999</v>
      </c>
    </row>
    <row r="15" spans="2:6" ht="15" customHeight="1" x14ac:dyDescent="0.2">
      <c r="B15" s="83" t="s">
        <v>80</v>
      </c>
      <c r="C15" s="830">
        <f>'Eng Table 18'!C21</f>
        <v>417.30799999999999</v>
      </c>
      <c r="D15" s="830">
        <f>'Eng Table 18'!D21</f>
        <v>29304.577000000001</v>
      </c>
      <c r="E15" s="321">
        <f>'Eng Table 18'!E21</f>
        <v>4.1090444887909863</v>
      </c>
      <c r="F15" s="831">
        <f t="shared" si="0"/>
        <v>29721.885000000002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87B9DF-7C60-4502-BB49-E4BE9475FEE5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ECE13712-376F-4032-843B-6A4791F17F40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7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663</v>
      </c>
      <c r="C3" t="s">
        <v>400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326</v>
      </c>
      <c r="D6" s="75" t="s">
        <v>326</v>
      </c>
      <c r="E6" s="21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2"/>
      <c r="F7" s="71"/>
    </row>
    <row r="8" spans="2:6" ht="15" customHeight="1" x14ac:dyDescent="0.2">
      <c r="B8" s="78" t="s">
        <v>341</v>
      </c>
      <c r="C8" s="67">
        <f>'Section 12 data'!$J$24</f>
        <v>0.109</v>
      </c>
      <c r="D8" s="85">
        <f>'Section 12 data'!$K$24</f>
        <v>21.864999999999998</v>
      </c>
      <c r="E8" s="205">
        <f>'Section 12 data'!$L$24</f>
        <v>21.823169305438398</v>
      </c>
      <c r="F8" s="822">
        <f>SUM(C8,D8)</f>
        <v>21.974</v>
      </c>
    </row>
    <row r="9" spans="2:6" ht="15" customHeight="1" x14ac:dyDescent="0.2">
      <c r="B9" s="79" t="s">
        <v>342</v>
      </c>
      <c r="C9" s="67">
        <f>'Section 12 data'!$J$25</f>
        <v>5.6829999999999998</v>
      </c>
      <c r="D9" s="85">
        <f>'Section 12 data'!$K$25</f>
        <v>473.74599999999998</v>
      </c>
      <c r="E9" s="205">
        <f>'Section 12 data'!$L$25</f>
        <v>7.3100304138502619</v>
      </c>
      <c r="F9" s="822">
        <f t="shared" ref="F9:F17" si="0">SUM(C9,D9)</f>
        <v>479.42899999999997</v>
      </c>
    </row>
    <row r="10" spans="2:6" ht="15" customHeight="1" x14ac:dyDescent="0.2">
      <c r="B10" s="80" t="s">
        <v>343</v>
      </c>
      <c r="C10" s="67">
        <f>'Section 12 data'!$J$26</f>
        <v>80.534000000000006</v>
      </c>
      <c r="D10" s="85">
        <f>'Section 12 data'!$K$26</f>
        <v>1453.364</v>
      </c>
      <c r="E10" s="205">
        <f>'Section 12 data'!$L$26</f>
        <v>7.363559346241388</v>
      </c>
      <c r="F10" s="822">
        <f t="shared" si="0"/>
        <v>1533.8980000000001</v>
      </c>
    </row>
    <row r="11" spans="2:6" ht="15" customHeight="1" x14ac:dyDescent="0.2">
      <c r="B11" s="78" t="s">
        <v>344</v>
      </c>
      <c r="C11" s="67">
        <f>'Section 12 data'!$J$27</f>
        <v>98.69</v>
      </c>
      <c r="D11" s="85">
        <f>'Section 12 data'!$K$27</f>
        <v>2372.3809999999999</v>
      </c>
      <c r="E11" s="205">
        <f>'Section 12 data'!$L$27</f>
        <v>8.1991655117774087</v>
      </c>
      <c r="F11" s="822">
        <f t="shared" si="0"/>
        <v>2471.0709999999999</v>
      </c>
    </row>
    <row r="12" spans="2:6" ht="15" customHeight="1" x14ac:dyDescent="0.2">
      <c r="B12" s="78" t="s">
        <v>345</v>
      </c>
      <c r="C12" s="67">
        <f>'Section 12 data'!$J$28</f>
        <v>103.352</v>
      </c>
      <c r="D12" s="85">
        <f>'Section 12 data'!$K$28</f>
        <v>7177.2640000000001</v>
      </c>
      <c r="E12" s="205">
        <f>'Section 12 data'!$L$28</f>
        <v>6.0754224024387078</v>
      </c>
      <c r="F12" s="822">
        <f t="shared" si="0"/>
        <v>7280.616</v>
      </c>
    </row>
    <row r="13" spans="2:6" ht="15" customHeight="1" x14ac:dyDescent="0.2">
      <c r="B13" s="78" t="s">
        <v>346</v>
      </c>
      <c r="C13" s="67">
        <f>'Section 12 data'!$J$29</f>
        <v>58.792000000000002</v>
      </c>
      <c r="D13" s="85">
        <f>'Section 12 data'!$K$29</f>
        <v>6538.6040000000003</v>
      </c>
      <c r="E13" s="205">
        <f>'Section 12 data'!$L$29</f>
        <v>8.3038996673470393</v>
      </c>
      <c r="F13" s="822">
        <f t="shared" si="0"/>
        <v>6597.3960000000006</v>
      </c>
    </row>
    <row r="14" spans="2:6" ht="15" customHeight="1" x14ac:dyDescent="0.2">
      <c r="B14" s="78" t="s">
        <v>347</v>
      </c>
      <c r="C14" s="67">
        <f>'Section 12 data'!$J$30</f>
        <v>50.601999999999997</v>
      </c>
      <c r="D14" s="85">
        <f>'Section 12 data'!$K$30</f>
        <v>6810.4939999999997</v>
      </c>
      <c r="E14" s="205">
        <f>'Section 12 data'!$L$30</f>
        <v>9.4614680396518178</v>
      </c>
      <c r="F14" s="822">
        <f t="shared" si="0"/>
        <v>6861.0959999999995</v>
      </c>
    </row>
    <row r="15" spans="2:6" ht="15" customHeight="1" x14ac:dyDescent="0.2">
      <c r="B15" s="78" t="s">
        <v>348</v>
      </c>
      <c r="C15" s="67">
        <f>'Section 12 data'!$J$31</f>
        <v>11.786</v>
      </c>
      <c r="D15" s="85">
        <f>'Section 12 data'!$K$31</f>
        <v>2641.8319999999999</v>
      </c>
      <c r="E15" s="205">
        <f>'Section 12 data'!$L$31</f>
        <v>16.956123785288881</v>
      </c>
      <c r="F15" s="822">
        <f t="shared" si="0"/>
        <v>2653.6179999999999</v>
      </c>
    </row>
    <row r="16" spans="2:6" ht="15" customHeight="1" x14ac:dyDescent="0.2">
      <c r="B16" s="78" t="s">
        <v>270</v>
      </c>
      <c r="C16" s="67">
        <f>'Section 12 data'!$J$32</f>
        <v>7.7640000000000002</v>
      </c>
      <c r="D16" s="85">
        <f>'Section 12 data'!$K$32</f>
        <v>1815.0229999999999</v>
      </c>
      <c r="E16" s="205">
        <f>'Section 12 data'!$L$32</f>
        <v>20.603447356979515</v>
      </c>
      <c r="F16" s="822">
        <f t="shared" si="0"/>
        <v>1822.7869999999998</v>
      </c>
    </row>
    <row r="17" spans="2:6" ht="15" customHeight="1" x14ac:dyDescent="0.2">
      <c r="B17" s="86" t="s">
        <v>80</v>
      </c>
      <c r="C17" s="87">
        <f>'Eng Table 18'!C21</f>
        <v>417.30799999999999</v>
      </c>
      <c r="D17" s="87">
        <f>'Eng Table 18'!D21</f>
        <v>29304.577000000001</v>
      </c>
      <c r="E17" s="321">
        <f>'Eng Table 18'!E21</f>
        <v>4.1090444887909863</v>
      </c>
      <c r="F17" s="87">
        <f t="shared" si="0"/>
        <v>29721.885000000002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86FDD8E-2B42-46A3-B04A-F0E9124B216C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45B890D0-918E-4071-8797-6DF3CDAC1855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R12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2" spans="2:18" ht="15" customHeight="1" thickBot="1" x14ac:dyDescent="0.25"/>
    <row r="3" spans="2:18" ht="15" customHeight="1" x14ac:dyDescent="0.2">
      <c r="B3" s="1000" t="s">
        <v>753</v>
      </c>
      <c r="C3" s="1002" t="s">
        <v>839</v>
      </c>
      <c r="D3" s="1002"/>
      <c r="E3" s="1002"/>
      <c r="F3" s="1005"/>
      <c r="G3" s="690"/>
      <c r="H3" s="691"/>
      <c r="I3" s="691"/>
      <c r="J3" s="691"/>
      <c r="K3" s="691"/>
      <c r="L3" s="691"/>
      <c r="M3" s="691"/>
      <c r="N3" s="691"/>
      <c r="P3" s="1003" t="s">
        <v>840</v>
      </c>
      <c r="Q3" s="996"/>
      <c r="R3" s="998"/>
    </row>
    <row r="4" spans="2:18" ht="15" customHeight="1" x14ac:dyDescent="0.2">
      <c r="B4" s="1000"/>
      <c r="C4" s="955" t="s">
        <v>78</v>
      </c>
      <c r="D4" s="955" t="s">
        <v>309</v>
      </c>
      <c r="E4" s="955"/>
      <c r="F4" s="692" t="s">
        <v>80</v>
      </c>
      <c r="G4" s="693"/>
      <c r="H4" s="693"/>
      <c r="I4" s="693"/>
      <c r="J4" s="693"/>
      <c r="K4" s="693"/>
      <c r="L4" s="693"/>
      <c r="M4" s="693"/>
      <c r="N4" s="693"/>
      <c r="P4" s="1004"/>
      <c r="Q4" s="997"/>
      <c r="R4" s="999"/>
    </row>
    <row r="5" spans="2:18" ht="15" customHeight="1" thickBot="1" x14ac:dyDescent="0.25">
      <c r="B5" s="1001"/>
      <c r="C5" s="956" t="s">
        <v>841</v>
      </c>
      <c r="D5" s="956" t="s">
        <v>841</v>
      </c>
      <c r="E5" s="655" t="s">
        <v>82</v>
      </c>
      <c r="F5" s="694" t="s">
        <v>841</v>
      </c>
      <c r="G5" s="693"/>
      <c r="H5" s="693"/>
      <c r="I5" s="695"/>
      <c r="J5" s="693"/>
      <c r="K5" s="693"/>
      <c r="L5" s="693"/>
      <c r="M5" s="695"/>
      <c r="N5" s="693"/>
      <c r="P5" s="656" t="s">
        <v>310</v>
      </c>
      <c r="Q5" s="657"/>
      <c r="R5" s="658"/>
    </row>
    <row r="6" spans="2:18" ht="15" customHeight="1" x14ac:dyDescent="0.2">
      <c r="B6" s="659" t="s">
        <v>721</v>
      </c>
      <c r="C6" s="916">
        <v>1086.856</v>
      </c>
      <c r="D6" s="917">
        <v>114759.10264065789</v>
      </c>
      <c r="E6" s="662">
        <v>2.4594095309913326</v>
      </c>
      <c r="F6" s="699">
        <f t="shared" ref="F6:F20" si="0">C6+D6</f>
        <v>115845.95864065789</v>
      </c>
      <c r="G6" s="664"/>
      <c r="H6" s="661"/>
      <c r="I6" s="662"/>
      <c r="J6" s="696"/>
      <c r="K6" s="664"/>
      <c r="L6" s="661"/>
      <c r="M6" s="662"/>
      <c r="N6" s="696"/>
      <c r="P6" s="665">
        <f t="shared" ref="P6:P20" si="1">D6*E6/100</f>
        <v>2822.3963080244662</v>
      </c>
      <c r="Q6" s="472"/>
      <c r="R6" s="666"/>
    </row>
    <row r="7" spans="2:18" ht="15" customHeight="1" x14ac:dyDescent="0.2">
      <c r="B7" s="668" t="s">
        <v>286</v>
      </c>
      <c r="C7" s="918">
        <v>141.38499999999999</v>
      </c>
      <c r="D7" s="919">
        <v>5867.5015619958103</v>
      </c>
      <c r="E7" s="671">
        <v>8.8402201246109708</v>
      </c>
      <c r="F7" s="699">
        <f t="shared" si="0"/>
        <v>6008.8865619958106</v>
      </c>
      <c r="G7" s="672"/>
      <c r="H7" s="670"/>
      <c r="I7" s="671"/>
      <c r="J7" s="696"/>
      <c r="K7" s="672"/>
      <c r="L7" s="670"/>
      <c r="M7" s="671"/>
      <c r="N7" s="696"/>
      <c r="P7" s="665">
        <f t="shared" si="1"/>
        <v>518.70005389541666</v>
      </c>
      <c r="Q7" s="472"/>
      <c r="R7" s="666"/>
    </row>
    <row r="8" spans="2:18" ht="15" customHeight="1" x14ac:dyDescent="0.2">
      <c r="B8" s="668" t="s">
        <v>307</v>
      </c>
      <c r="C8" s="918">
        <v>7.718</v>
      </c>
      <c r="D8" s="919">
        <v>11721.5496583526</v>
      </c>
      <c r="E8" s="671">
        <v>7.5830305775470297</v>
      </c>
      <c r="F8" s="699">
        <f t="shared" si="0"/>
        <v>11729.267658352601</v>
      </c>
      <c r="G8" s="672"/>
      <c r="H8" s="670"/>
      <c r="I8" s="671"/>
      <c r="J8" s="696"/>
      <c r="K8" s="672"/>
      <c r="L8" s="670"/>
      <c r="M8" s="671"/>
      <c r="N8" s="696"/>
      <c r="P8" s="665">
        <f t="shared" si="1"/>
        <v>888.84869475523703</v>
      </c>
      <c r="Q8" s="472"/>
      <c r="R8" s="666"/>
    </row>
    <row r="9" spans="2:18" ht="15" customHeight="1" x14ac:dyDescent="0.2">
      <c r="B9" s="668" t="s">
        <v>287</v>
      </c>
      <c r="C9" s="918">
        <v>43.26</v>
      </c>
      <c r="D9" s="919">
        <v>9666.9249003334007</v>
      </c>
      <c r="E9" s="671">
        <v>8.32253285549662</v>
      </c>
      <c r="F9" s="699">
        <f t="shared" si="0"/>
        <v>9710.1849003334009</v>
      </c>
      <c r="G9" s="672"/>
      <c r="H9" s="670"/>
      <c r="I9" s="671"/>
      <c r="J9" s="696"/>
      <c r="K9" s="672"/>
      <c r="L9" s="670"/>
      <c r="M9" s="671"/>
      <c r="N9" s="696"/>
      <c r="P9" s="665">
        <f t="shared" si="1"/>
        <v>804.53300094643112</v>
      </c>
      <c r="Q9" s="472"/>
      <c r="R9" s="666"/>
    </row>
    <row r="10" spans="2:18" ht="15" customHeight="1" x14ac:dyDescent="0.2">
      <c r="B10" s="668" t="s">
        <v>288</v>
      </c>
      <c r="C10" s="918">
        <v>39.130000000000003</v>
      </c>
      <c r="D10" s="919">
        <v>4180.77946987018</v>
      </c>
      <c r="E10" s="671">
        <v>13.833859504847</v>
      </c>
      <c r="F10" s="699">
        <f t="shared" si="0"/>
        <v>4219.9094698701801</v>
      </c>
      <c r="G10" s="672"/>
      <c r="H10" s="670"/>
      <c r="I10" s="671"/>
      <c r="J10" s="696"/>
      <c r="K10" s="672"/>
      <c r="L10" s="670"/>
      <c r="M10" s="671"/>
      <c r="N10" s="696"/>
      <c r="P10" s="665">
        <f t="shared" si="1"/>
        <v>578.36315806932794</v>
      </c>
      <c r="Q10" s="472"/>
      <c r="R10" s="666"/>
    </row>
    <row r="11" spans="2:18" ht="15" customHeight="1" x14ac:dyDescent="0.2">
      <c r="B11" s="668" t="s">
        <v>305</v>
      </c>
      <c r="C11" s="918">
        <v>10.266</v>
      </c>
      <c r="D11" s="919">
        <v>2535.9825544893301</v>
      </c>
      <c r="E11" s="671">
        <v>21.8915724752428</v>
      </c>
      <c r="F11" s="699">
        <f t="shared" si="0"/>
        <v>2546.2485544893302</v>
      </c>
      <c r="G11" s="672"/>
      <c r="H11" s="670"/>
      <c r="I11" s="671"/>
      <c r="J11" s="696"/>
      <c r="K11" s="672"/>
      <c r="L11" s="670"/>
      <c r="M11" s="671"/>
      <c r="N11" s="696"/>
      <c r="P11" s="665">
        <f t="shared" si="1"/>
        <v>555.16645887554546</v>
      </c>
      <c r="Q11" s="472"/>
      <c r="R11" s="666"/>
    </row>
    <row r="12" spans="2:18" ht="15" customHeight="1" x14ac:dyDescent="0.2">
      <c r="B12" s="668" t="s">
        <v>289</v>
      </c>
      <c r="C12" s="918">
        <v>2.1800000000000002</v>
      </c>
      <c r="D12" s="919">
        <v>2933.6946766623601</v>
      </c>
      <c r="E12" s="671">
        <v>22.819562761826301</v>
      </c>
      <c r="F12" s="699">
        <f t="shared" si="0"/>
        <v>2935.8746766623599</v>
      </c>
      <c r="G12" s="672"/>
      <c r="H12" s="670"/>
      <c r="I12" s="671"/>
      <c r="J12" s="696"/>
      <c r="K12" s="672"/>
      <c r="L12" s="670"/>
      <c r="M12" s="671"/>
      <c r="N12" s="696"/>
      <c r="P12" s="665">
        <f t="shared" si="1"/>
        <v>669.4562979813245</v>
      </c>
      <c r="Q12" s="472"/>
      <c r="R12" s="666"/>
    </row>
    <row r="13" spans="2:18" ht="15" customHeight="1" x14ac:dyDescent="0.2">
      <c r="B13" s="668" t="s">
        <v>306</v>
      </c>
      <c r="C13" s="918">
        <v>41.787999999999997</v>
      </c>
      <c r="D13" s="919">
        <v>7635.2705771139099</v>
      </c>
      <c r="E13" s="671">
        <v>9.5529459434836195</v>
      </c>
      <c r="F13" s="699">
        <f t="shared" si="0"/>
        <v>7677.0585771139095</v>
      </c>
      <c r="G13" s="672"/>
      <c r="H13" s="670"/>
      <c r="I13" s="671"/>
      <c r="J13" s="696"/>
      <c r="K13" s="672"/>
      <c r="L13" s="670"/>
      <c r="M13" s="671"/>
      <c r="N13" s="696"/>
      <c r="P13" s="665">
        <f t="shared" si="1"/>
        <v>729.39327087040158</v>
      </c>
      <c r="Q13" s="472"/>
      <c r="R13" s="666"/>
    </row>
    <row r="14" spans="2:18" ht="15" customHeight="1" x14ac:dyDescent="0.2">
      <c r="B14" s="668" t="s">
        <v>290</v>
      </c>
      <c r="C14" s="918">
        <v>69.602000000000004</v>
      </c>
      <c r="D14" s="919">
        <v>4888.4995181294598</v>
      </c>
      <c r="E14" s="671">
        <v>10.7492845161399</v>
      </c>
      <c r="F14" s="699">
        <f t="shared" si="0"/>
        <v>4958.1015181294597</v>
      </c>
      <c r="G14" s="672"/>
      <c r="H14" s="670"/>
      <c r="I14" s="671"/>
      <c r="J14" s="696"/>
      <c r="K14" s="672"/>
      <c r="L14" s="670"/>
      <c r="M14" s="671"/>
      <c r="N14" s="696"/>
      <c r="P14" s="665">
        <f t="shared" si="1"/>
        <v>525.47872177386364</v>
      </c>
      <c r="Q14" s="472"/>
      <c r="R14" s="666"/>
    </row>
    <row r="15" spans="2:18" ht="15" customHeight="1" x14ac:dyDescent="0.2">
      <c r="B15" s="668" t="s">
        <v>291</v>
      </c>
      <c r="C15" s="918">
        <v>236.78200000000001</v>
      </c>
      <c r="D15" s="919">
        <v>4074.0796006648297</v>
      </c>
      <c r="E15" s="671">
        <v>13.357929108821301</v>
      </c>
      <c r="F15" s="699">
        <f t="shared" si="0"/>
        <v>4310.8616006648299</v>
      </c>
      <c r="G15" s="672"/>
      <c r="H15" s="670"/>
      <c r="I15" s="671"/>
      <c r="J15" s="696"/>
      <c r="K15" s="672"/>
      <c r="L15" s="670"/>
      <c r="M15" s="671"/>
      <c r="N15" s="696"/>
      <c r="P15" s="665">
        <f t="shared" si="1"/>
        <v>544.21266489375785</v>
      </c>
      <c r="Q15" s="472"/>
      <c r="R15" s="666"/>
    </row>
    <row r="16" spans="2:18" ht="15" customHeight="1" x14ac:dyDescent="0.2">
      <c r="B16" s="668" t="s">
        <v>292</v>
      </c>
      <c r="C16" s="918">
        <v>78.634</v>
      </c>
      <c r="D16" s="919">
        <v>12663.885227889699</v>
      </c>
      <c r="E16" s="671">
        <v>5.6790246614393398</v>
      </c>
      <c r="F16" s="699">
        <f t="shared" si="0"/>
        <v>12742.519227889699</v>
      </c>
      <c r="G16" s="672"/>
      <c r="H16" s="670"/>
      <c r="I16" s="671"/>
      <c r="J16" s="696"/>
      <c r="K16" s="672"/>
      <c r="L16" s="670"/>
      <c r="M16" s="671"/>
      <c r="N16" s="696"/>
      <c r="P16" s="665">
        <f t="shared" si="1"/>
        <v>719.18516518822958</v>
      </c>
      <c r="Q16" s="472"/>
      <c r="R16" s="666"/>
    </row>
    <row r="17" spans="2:18" ht="15" customHeight="1" x14ac:dyDescent="0.2">
      <c r="B17" s="668" t="s">
        <v>293</v>
      </c>
      <c r="C17" s="918">
        <v>12.712999999999999</v>
      </c>
      <c r="D17" s="919">
        <v>10061.2900575969</v>
      </c>
      <c r="E17" s="671">
        <v>6.5746731773011602</v>
      </c>
      <c r="F17" s="699">
        <f t="shared" si="0"/>
        <v>10074.003057596899</v>
      </c>
      <c r="G17" s="672"/>
      <c r="H17" s="670"/>
      <c r="I17" s="671"/>
      <c r="J17" s="696"/>
      <c r="K17" s="672"/>
      <c r="L17" s="670"/>
      <c r="M17" s="671"/>
      <c r="N17" s="696"/>
      <c r="P17" s="665">
        <f t="shared" si="1"/>
        <v>661.49693870729186</v>
      </c>
      <c r="Q17" s="472"/>
      <c r="R17" s="666"/>
    </row>
    <row r="18" spans="2:18" ht="15" customHeight="1" x14ac:dyDescent="0.2">
      <c r="B18" s="668" t="s">
        <v>294</v>
      </c>
      <c r="C18" s="918">
        <v>65.744</v>
      </c>
      <c r="D18" s="919">
        <v>13488.2501224513</v>
      </c>
      <c r="E18" s="671">
        <v>7.0093250820709798</v>
      </c>
      <c r="F18" s="699">
        <f t="shared" si="0"/>
        <v>13553.9941224513</v>
      </c>
      <c r="G18" s="672"/>
      <c r="H18" s="670"/>
      <c r="I18" s="671"/>
      <c r="J18" s="696"/>
      <c r="K18" s="672"/>
      <c r="L18" s="670"/>
      <c r="M18" s="671"/>
      <c r="N18" s="696"/>
      <c r="P18" s="665">
        <f t="shared" si="1"/>
        <v>945.43529896544862</v>
      </c>
      <c r="Q18" s="472"/>
      <c r="R18" s="666"/>
    </row>
    <row r="19" spans="2:18" ht="15" customHeight="1" x14ac:dyDescent="0.2">
      <c r="B19" s="668" t="s">
        <v>295</v>
      </c>
      <c r="C19" s="918">
        <v>227.90199999999999</v>
      </c>
      <c r="D19" s="919">
        <v>17486.470627963598</v>
      </c>
      <c r="E19" s="671">
        <v>8.0438832585913396</v>
      </c>
      <c r="F19" s="699">
        <f t="shared" si="0"/>
        <v>17714.372627963596</v>
      </c>
      <c r="G19" s="672"/>
      <c r="H19" s="670"/>
      <c r="I19" s="671"/>
      <c r="J19" s="696"/>
      <c r="K19" s="672"/>
      <c r="L19" s="670"/>
      <c r="M19" s="671"/>
      <c r="N19" s="696"/>
      <c r="P19" s="665">
        <f t="shared" si="1"/>
        <v>1406.5912833612558</v>
      </c>
      <c r="Q19" s="472"/>
      <c r="R19" s="666"/>
    </row>
    <row r="20" spans="2:18" ht="15" customHeight="1" thickBot="1" x14ac:dyDescent="0.25">
      <c r="B20" s="677" t="s">
        <v>296</v>
      </c>
      <c r="C20" s="920">
        <v>109.752</v>
      </c>
      <c r="D20" s="921">
        <v>7554.9240871444799</v>
      </c>
      <c r="E20" s="680">
        <v>6.4465217145378402</v>
      </c>
      <c r="F20" s="702">
        <f t="shared" si="0"/>
        <v>7664.6760871444803</v>
      </c>
      <c r="G20" s="672"/>
      <c r="H20" s="670"/>
      <c r="I20" s="671"/>
      <c r="J20" s="696"/>
      <c r="K20" s="672"/>
      <c r="L20" s="670"/>
      <c r="M20" s="671"/>
      <c r="N20" s="696"/>
      <c r="P20" s="683">
        <f t="shared" si="1"/>
        <v>487.02982179461861</v>
      </c>
      <c r="Q20" s="684"/>
      <c r="R20" s="685"/>
    </row>
    <row r="22" spans="2:18" ht="15" customHeight="1" thickBot="1" x14ac:dyDescent="0.25"/>
    <row r="23" spans="2:18" ht="15" customHeight="1" x14ac:dyDescent="0.2">
      <c r="B23" s="1000" t="s">
        <v>753</v>
      </c>
      <c r="C23" s="1002" t="s">
        <v>842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843</v>
      </c>
      <c r="Q23" s="996"/>
      <c r="R23" s="998"/>
    </row>
    <row r="24" spans="2:18" ht="15" customHeight="1" x14ac:dyDescent="0.2">
      <c r="B24" s="1000"/>
      <c r="C24" s="955" t="s">
        <v>78</v>
      </c>
      <c r="D24" s="955" t="s">
        <v>309</v>
      </c>
      <c r="E24" s="955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18" ht="15" customHeight="1" thickBot="1" x14ac:dyDescent="0.25">
      <c r="B25" s="1001"/>
      <c r="C25" s="956" t="s">
        <v>844</v>
      </c>
      <c r="D25" s="956" t="s">
        <v>844</v>
      </c>
      <c r="E25" s="655" t="s">
        <v>82</v>
      </c>
      <c r="F25" s="694" t="s">
        <v>844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18" ht="15" customHeight="1" x14ac:dyDescent="0.2">
      <c r="B26" s="659" t="s">
        <v>721</v>
      </c>
      <c r="C26" s="660">
        <v>4.234</v>
      </c>
      <c r="D26" s="661">
        <v>273.7048505593342</v>
      </c>
      <c r="E26" s="662">
        <v>1.8212735686694925</v>
      </c>
      <c r="F26" s="663">
        <f t="shared" ref="F26:F40" si="2">C26+D26</f>
        <v>277.93885055933418</v>
      </c>
      <c r="G26" s="664"/>
      <c r="H26" s="661"/>
      <c r="I26" s="662"/>
      <c r="J26" s="696"/>
      <c r="K26" s="664"/>
      <c r="L26" s="661"/>
      <c r="M26" s="662"/>
      <c r="N26" s="696"/>
      <c r="P26" s="665">
        <f t="shared" ref="P26:P40" si="3">D26*E26/100</f>
        <v>4.984914099403488</v>
      </c>
      <c r="Q26" s="472"/>
      <c r="R26" s="666"/>
    </row>
    <row r="27" spans="2:18" ht="15" customHeight="1" x14ac:dyDescent="0.2">
      <c r="B27" s="668" t="s">
        <v>286</v>
      </c>
      <c r="C27" s="669">
        <v>0.38700000000000001</v>
      </c>
      <c r="D27" s="670">
        <v>17.459329751634701</v>
      </c>
      <c r="E27" s="671">
        <v>6.6761263737734602</v>
      </c>
      <c r="F27" s="663">
        <f t="shared" si="2"/>
        <v>17.846329751634702</v>
      </c>
      <c r="G27" s="672"/>
      <c r="H27" s="670"/>
      <c r="I27" s="671"/>
      <c r="J27" s="696"/>
      <c r="K27" s="672"/>
      <c r="L27" s="670"/>
      <c r="M27" s="671"/>
      <c r="N27" s="696"/>
      <c r="P27" s="665">
        <f t="shared" si="3"/>
        <v>1.1656069182329607</v>
      </c>
      <c r="Q27" s="472"/>
      <c r="R27" s="666"/>
    </row>
    <row r="28" spans="2:18" ht="15" customHeight="1" x14ac:dyDescent="0.2">
      <c r="B28" s="668" t="s">
        <v>307</v>
      </c>
      <c r="C28" s="669">
        <v>2.8000000000000001E-2</v>
      </c>
      <c r="D28" s="670">
        <v>25.305731092109902</v>
      </c>
      <c r="E28" s="671">
        <v>5.6820514049774404</v>
      </c>
      <c r="F28" s="663">
        <f t="shared" si="2"/>
        <v>25.3337310921099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si="3"/>
        <v>1.4378846490590436</v>
      </c>
      <c r="Q28" s="472"/>
      <c r="R28" s="666"/>
    </row>
    <row r="29" spans="2:18" ht="15" customHeight="1" x14ac:dyDescent="0.2">
      <c r="B29" s="668" t="s">
        <v>287</v>
      </c>
      <c r="C29" s="669">
        <v>0.40100000000000002</v>
      </c>
      <c r="D29" s="670">
        <v>28.494523067047098</v>
      </c>
      <c r="E29" s="671">
        <v>6.2958932811420398</v>
      </c>
      <c r="F29" s="663">
        <f t="shared" si="2"/>
        <v>28.895523067047097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3"/>
        <v>1.7939847632716868</v>
      </c>
      <c r="Q29" s="472"/>
      <c r="R29" s="666"/>
    </row>
    <row r="30" spans="2:18" ht="15" customHeight="1" x14ac:dyDescent="0.2">
      <c r="B30" s="668" t="s">
        <v>288</v>
      </c>
      <c r="C30" s="669">
        <v>0.157</v>
      </c>
      <c r="D30" s="670">
        <v>11.2695117076226</v>
      </c>
      <c r="E30" s="671">
        <v>9.6930177338276593</v>
      </c>
      <c r="F30" s="663">
        <f t="shared" si="2"/>
        <v>11.4265117076226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3"/>
        <v>1.0923557683356429</v>
      </c>
      <c r="Q30" s="472"/>
      <c r="R30" s="666"/>
    </row>
    <row r="31" spans="2:18" ht="15" customHeight="1" x14ac:dyDescent="0.2">
      <c r="B31" s="668" t="s">
        <v>305</v>
      </c>
      <c r="C31" s="669">
        <v>5.6000000000000001E-2</v>
      </c>
      <c r="D31" s="670">
        <v>5.7183891987923099</v>
      </c>
      <c r="E31" s="671">
        <v>16.136205282266101</v>
      </c>
      <c r="F31" s="663">
        <f t="shared" si="2"/>
        <v>5.7743891987923099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3"/>
        <v>0.92273101995605888</v>
      </c>
      <c r="Q31" s="472"/>
      <c r="R31" s="666"/>
    </row>
    <row r="32" spans="2:18" ht="15" customHeight="1" x14ac:dyDescent="0.2">
      <c r="B32" s="668" t="s">
        <v>289</v>
      </c>
      <c r="C32" s="669">
        <v>8.9999999999999993E-3</v>
      </c>
      <c r="D32" s="670">
        <v>7.5571490182585404</v>
      </c>
      <c r="E32" s="671">
        <v>14.3759087659363</v>
      </c>
      <c r="F32" s="663">
        <f t="shared" si="2"/>
        <v>7.5661490182585407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3"/>
        <v>1.0864088481706986</v>
      </c>
      <c r="Q32" s="472"/>
      <c r="R32" s="666"/>
    </row>
    <row r="33" spans="1:18" ht="15" customHeight="1" x14ac:dyDescent="0.2">
      <c r="B33" s="668" t="s">
        <v>306</v>
      </c>
      <c r="C33" s="669">
        <v>0.127</v>
      </c>
      <c r="D33" s="670">
        <v>17.2653539002652</v>
      </c>
      <c r="E33" s="671">
        <v>8.3886922574502591</v>
      </c>
      <c r="F33" s="663">
        <f t="shared" si="2"/>
        <v>17.392353900265199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3"/>
        <v>1.4483374058529332</v>
      </c>
      <c r="Q33" s="472"/>
      <c r="R33" s="666"/>
    </row>
    <row r="34" spans="1:18" ht="15" customHeight="1" x14ac:dyDescent="0.2">
      <c r="B34" s="668" t="s">
        <v>290</v>
      </c>
      <c r="C34" s="669">
        <v>0.26100000000000001</v>
      </c>
      <c r="D34" s="670">
        <v>11.5522398536169</v>
      </c>
      <c r="E34" s="671">
        <v>7.7942249433863999</v>
      </c>
      <c r="F34" s="663">
        <f t="shared" si="2"/>
        <v>11.813239853616899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3"/>
        <v>0.900407560190433</v>
      </c>
      <c r="Q34" s="472"/>
      <c r="R34" s="666"/>
    </row>
    <row r="35" spans="1:18" ht="15" customHeight="1" x14ac:dyDescent="0.2">
      <c r="B35" s="668" t="s">
        <v>291</v>
      </c>
      <c r="C35" s="669">
        <v>0.68300000000000005</v>
      </c>
      <c r="D35" s="670">
        <v>11.9323942821653</v>
      </c>
      <c r="E35" s="671">
        <v>11.113093757969899</v>
      </c>
      <c r="F35" s="663">
        <f t="shared" si="2"/>
        <v>12.615394282165299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3"/>
        <v>1.326058164147669</v>
      </c>
      <c r="Q35" s="472"/>
      <c r="R35" s="666"/>
    </row>
    <row r="36" spans="1:18" ht="15" customHeight="1" x14ac:dyDescent="0.2">
      <c r="B36" s="668" t="s">
        <v>292</v>
      </c>
      <c r="C36" s="669">
        <v>0.307</v>
      </c>
      <c r="D36" s="670">
        <v>29.750088961079399</v>
      </c>
      <c r="E36" s="671">
        <v>4.1393519637957903</v>
      </c>
      <c r="F36" s="663">
        <f t="shared" si="2"/>
        <v>30.057088961079398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3"/>
        <v>1.2314608916414347</v>
      </c>
      <c r="Q36" s="472"/>
      <c r="R36" s="666"/>
    </row>
    <row r="37" spans="1:18" ht="15" customHeight="1" x14ac:dyDescent="0.2">
      <c r="B37" s="668" t="s">
        <v>293</v>
      </c>
      <c r="C37" s="669">
        <v>0.05</v>
      </c>
      <c r="D37" s="670">
        <v>22.2059404978435</v>
      </c>
      <c r="E37" s="671">
        <v>5.1608519607439396</v>
      </c>
      <c r="F37" s="663">
        <f t="shared" si="2"/>
        <v>22.2559404978435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3"/>
        <v>1.1460157155845889</v>
      </c>
      <c r="Q37" s="472"/>
      <c r="R37" s="666"/>
    </row>
    <row r="38" spans="1:18" ht="15" customHeight="1" x14ac:dyDescent="0.2">
      <c r="B38" s="668" t="s">
        <v>294</v>
      </c>
      <c r="C38" s="669">
        <v>0.28999999999999998</v>
      </c>
      <c r="D38" s="670">
        <v>29.627121243886798</v>
      </c>
      <c r="E38" s="671">
        <v>5.2635515489250002</v>
      </c>
      <c r="F38" s="663">
        <f t="shared" si="2"/>
        <v>29.917121243886797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3"/>
        <v>1.5594387991344913</v>
      </c>
      <c r="Q38" s="472"/>
      <c r="R38" s="666"/>
    </row>
    <row r="39" spans="1:18" ht="15" customHeight="1" x14ac:dyDescent="0.2">
      <c r="B39" s="668" t="s">
        <v>295</v>
      </c>
      <c r="C39" s="669">
        <v>1.0249999999999999</v>
      </c>
      <c r="D39" s="670">
        <v>33.639646942514702</v>
      </c>
      <c r="E39" s="671">
        <v>5.7477020118280597</v>
      </c>
      <c r="F39" s="663">
        <f t="shared" si="2"/>
        <v>34.6646469425147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3"/>
        <v>1.933506664086774</v>
      </c>
      <c r="Q39" s="472"/>
      <c r="R39" s="666"/>
    </row>
    <row r="40" spans="1:18" ht="15" customHeight="1" thickBot="1" x14ac:dyDescent="0.25">
      <c r="B40" s="677" t="s">
        <v>296</v>
      </c>
      <c r="C40" s="678">
        <v>0.45300000000000001</v>
      </c>
      <c r="D40" s="679">
        <v>21.9274310424973</v>
      </c>
      <c r="E40" s="680">
        <v>5.2254768416344204</v>
      </c>
      <c r="F40" s="681">
        <f t="shared" si="2"/>
        <v>22.3804310424973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3"/>
        <v>1.1458128310910534</v>
      </c>
      <c r="Q40" s="684"/>
      <c r="R40" s="685"/>
    </row>
    <row r="42" spans="1:18" ht="15" customHeight="1" thickBot="1" x14ac:dyDescent="0.25"/>
    <row r="43" spans="1:18" ht="15" customHeight="1" x14ac:dyDescent="0.2">
      <c r="A43" t="s">
        <v>845</v>
      </c>
      <c r="B43" s="1000" t="s">
        <v>753</v>
      </c>
      <c r="C43" s="1002" t="s">
        <v>846</v>
      </c>
      <c r="D43" s="1002"/>
      <c r="E43" s="1002"/>
      <c r="F43" s="1005"/>
      <c r="G43" s="690"/>
      <c r="H43" s="691"/>
      <c r="I43" s="691"/>
      <c r="J43" s="691"/>
      <c r="K43" s="691"/>
      <c r="L43" s="691"/>
      <c r="M43" s="691"/>
      <c r="N43" s="691"/>
      <c r="P43" s="1003" t="s">
        <v>840</v>
      </c>
      <c r="Q43" s="996"/>
      <c r="R43" s="998"/>
    </row>
    <row r="44" spans="1:18" ht="15" customHeight="1" x14ac:dyDescent="0.2">
      <c r="B44" s="1000"/>
      <c r="C44" s="955" t="s">
        <v>78</v>
      </c>
      <c r="D44" s="955" t="s">
        <v>309</v>
      </c>
      <c r="E44" s="955"/>
      <c r="F44" s="692" t="s">
        <v>80</v>
      </c>
      <c r="G44" s="693"/>
      <c r="H44" s="693"/>
      <c r="I44" s="693"/>
      <c r="J44" s="693"/>
      <c r="K44" s="693"/>
      <c r="L44" s="693"/>
      <c r="M44" s="693"/>
      <c r="N44" s="693"/>
      <c r="P44" s="1004"/>
      <c r="Q44" s="997"/>
      <c r="R44" s="999"/>
    </row>
    <row r="45" spans="1:18" ht="15" customHeight="1" thickBot="1" x14ac:dyDescent="0.25">
      <c r="B45" s="1001"/>
      <c r="C45" s="956" t="s">
        <v>841</v>
      </c>
      <c r="D45" s="956" t="s">
        <v>841</v>
      </c>
      <c r="E45" s="655" t="s">
        <v>82</v>
      </c>
      <c r="F45" s="694" t="s">
        <v>841</v>
      </c>
      <c r="G45" s="693"/>
      <c r="H45" s="693"/>
      <c r="I45" s="695"/>
      <c r="J45" s="693"/>
      <c r="K45" s="693"/>
      <c r="L45" s="693"/>
      <c r="M45" s="695"/>
      <c r="N45" s="693"/>
      <c r="P45" s="656" t="s">
        <v>310</v>
      </c>
      <c r="Q45" s="657"/>
      <c r="R45" s="658"/>
    </row>
    <row r="46" spans="1:18" ht="15" customHeight="1" x14ac:dyDescent="0.2">
      <c r="B46" s="659" t="s">
        <v>721</v>
      </c>
      <c r="C46" s="916">
        <v>908.27300000000002</v>
      </c>
      <c r="D46" s="917">
        <v>19493.425182449955</v>
      </c>
      <c r="E46" s="662">
        <v>6.2536938661027861</v>
      </c>
      <c r="F46" s="699">
        <f t="shared" ref="F46:F60" si="4">C46+D46</f>
        <v>20401.698182449956</v>
      </c>
      <c r="G46" s="664"/>
      <c r="H46" s="661"/>
      <c r="I46" s="662"/>
      <c r="J46" s="696"/>
      <c r="K46" s="664"/>
      <c r="L46" s="661"/>
      <c r="M46" s="662"/>
      <c r="N46" s="696"/>
      <c r="P46" s="665">
        <f t="shared" ref="P46:P60" si="5">D46*E46/100</f>
        <v>1219.0591349282086</v>
      </c>
      <c r="Q46" s="472"/>
      <c r="R46" s="666"/>
    </row>
    <row r="47" spans="1:18" ht="15" customHeight="1" x14ac:dyDescent="0.2">
      <c r="B47" s="668" t="s">
        <v>286</v>
      </c>
      <c r="C47" s="918">
        <v>140.07499999999999</v>
      </c>
      <c r="D47" s="919">
        <v>1943.5844448438202</v>
      </c>
      <c r="E47" s="671">
        <v>17.141759729805901</v>
      </c>
      <c r="F47" s="699">
        <f t="shared" si="4"/>
        <v>2083.65944484382</v>
      </c>
      <c r="G47" s="672"/>
      <c r="H47" s="670"/>
      <c r="I47" s="671"/>
      <c r="J47" s="696"/>
      <c r="K47" s="672"/>
      <c r="L47" s="670"/>
      <c r="M47" s="671"/>
      <c r="N47" s="696"/>
      <c r="P47" s="665">
        <f t="shared" si="5"/>
        <v>333.16457568100958</v>
      </c>
      <c r="Q47" s="472"/>
      <c r="R47" s="666"/>
    </row>
    <row r="48" spans="1:18" ht="15" customHeight="1" x14ac:dyDescent="0.2">
      <c r="B48" s="668" t="s">
        <v>307</v>
      </c>
      <c r="C48" s="918">
        <v>7.5179999999999998</v>
      </c>
      <c r="D48" s="919">
        <v>2283.4638052418504</v>
      </c>
      <c r="E48" s="671">
        <v>14.159882092344199</v>
      </c>
      <c r="F48" s="699">
        <f t="shared" si="4"/>
        <v>2290.9818052418505</v>
      </c>
      <c r="G48" s="672"/>
      <c r="H48" s="670"/>
      <c r="I48" s="671"/>
      <c r="J48" s="696"/>
      <c r="K48" s="672"/>
      <c r="L48" s="670"/>
      <c r="M48" s="671"/>
      <c r="N48" s="696"/>
      <c r="P48" s="665">
        <f t="shared" si="5"/>
        <v>323.33578244360223</v>
      </c>
      <c r="Q48" s="472"/>
      <c r="R48" s="666"/>
    </row>
    <row r="49" spans="1:18" ht="15" customHeight="1" x14ac:dyDescent="0.2">
      <c r="B49" s="668" t="s">
        <v>287</v>
      </c>
      <c r="C49" s="918">
        <v>32.81</v>
      </c>
      <c r="D49" s="919">
        <v>703.86939129861003</v>
      </c>
      <c r="E49" s="671">
        <v>24.378232496293901</v>
      </c>
      <c r="F49" s="699">
        <f t="shared" si="4"/>
        <v>736.67939129860997</v>
      </c>
      <c r="G49" s="672"/>
      <c r="H49" s="670"/>
      <c r="I49" s="671"/>
      <c r="J49" s="696"/>
      <c r="K49" s="672"/>
      <c r="L49" s="670"/>
      <c r="M49" s="671"/>
      <c r="N49" s="696"/>
      <c r="P49" s="665">
        <f t="shared" si="5"/>
        <v>171.5909166810238</v>
      </c>
      <c r="Q49" s="472"/>
      <c r="R49" s="666"/>
    </row>
    <row r="50" spans="1:18" ht="15" customHeight="1" x14ac:dyDescent="0.2">
      <c r="B50" s="668" t="s">
        <v>288</v>
      </c>
      <c r="C50" s="918">
        <v>34.185000000000002</v>
      </c>
      <c r="D50" s="919">
        <v>746.00912357929394</v>
      </c>
      <c r="E50" s="671">
        <v>34.261397462141701</v>
      </c>
      <c r="F50" s="699">
        <f t="shared" si="4"/>
        <v>780.194123579294</v>
      </c>
      <c r="G50" s="672"/>
      <c r="H50" s="670"/>
      <c r="I50" s="671"/>
      <c r="J50" s="696"/>
      <c r="K50" s="672"/>
      <c r="L50" s="670"/>
      <c r="M50" s="671"/>
      <c r="N50" s="696"/>
      <c r="P50" s="665">
        <f t="shared" si="5"/>
        <v>255.59315093334175</v>
      </c>
      <c r="Q50" s="472"/>
      <c r="R50" s="666"/>
    </row>
    <row r="51" spans="1:18" ht="15" customHeight="1" x14ac:dyDescent="0.2">
      <c r="B51" s="668" t="s">
        <v>305</v>
      </c>
      <c r="C51" s="918">
        <v>3.7480000000000002</v>
      </c>
      <c r="D51" s="919">
        <v>181.85684500327</v>
      </c>
      <c r="E51" s="671">
        <v>51.6342245339847</v>
      </c>
      <c r="F51" s="699">
        <f t="shared" si="4"/>
        <v>185.60484500326999</v>
      </c>
      <c r="G51" s="672"/>
      <c r="H51" s="670"/>
      <c r="I51" s="671"/>
      <c r="J51" s="696"/>
      <c r="K51" s="672"/>
      <c r="L51" s="670"/>
      <c r="M51" s="671"/>
      <c r="N51" s="696"/>
      <c r="P51" s="665">
        <f t="shared" si="5"/>
        <v>93.900371679408963</v>
      </c>
      <c r="Q51" s="472"/>
      <c r="R51" s="666"/>
    </row>
    <row r="52" spans="1:18" ht="15" customHeight="1" x14ac:dyDescent="0.2">
      <c r="B52" s="668" t="s">
        <v>289</v>
      </c>
      <c r="C52" s="918">
        <v>1.925</v>
      </c>
      <c r="D52" s="919">
        <v>205.048975213451</v>
      </c>
      <c r="E52" s="671">
        <v>43.709813602072799</v>
      </c>
      <c r="F52" s="699">
        <f t="shared" si="4"/>
        <v>206.97397521345101</v>
      </c>
      <c r="G52" s="672"/>
      <c r="H52" s="670"/>
      <c r="I52" s="671"/>
      <c r="J52" s="696"/>
      <c r="K52" s="672"/>
      <c r="L52" s="670"/>
      <c r="M52" s="671"/>
      <c r="N52" s="696"/>
      <c r="P52" s="665">
        <f t="shared" si="5"/>
        <v>89.626524858759893</v>
      </c>
      <c r="Q52" s="472"/>
      <c r="R52" s="666"/>
    </row>
    <row r="53" spans="1:18" ht="15" customHeight="1" x14ac:dyDescent="0.2">
      <c r="B53" s="668" t="s">
        <v>306</v>
      </c>
      <c r="C53" s="918">
        <v>39.985999999999997</v>
      </c>
      <c r="D53" s="919">
        <v>704.41826501128992</v>
      </c>
      <c r="E53" s="671">
        <v>33.167328110092498</v>
      </c>
      <c r="F53" s="699">
        <f t="shared" si="4"/>
        <v>744.40426501128991</v>
      </c>
      <c r="G53" s="672"/>
      <c r="H53" s="670"/>
      <c r="I53" s="671"/>
      <c r="J53" s="696"/>
      <c r="K53" s="672"/>
      <c r="L53" s="670"/>
      <c r="M53" s="671"/>
      <c r="N53" s="696"/>
      <c r="P53" s="665">
        <f t="shared" si="5"/>
        <v>233.63671722371544</v>
      </c>
      <c r="Q53" s="472"/>
      <c r="R53" s="666"/>
    </row>
    <row r="54" spans="1:18" ht="15" customHeight="1" x14ac:dyDescent="0.2">
      <c r="B54" s="668" t="s">
        <v>290</v>
      </c>
      <c r="C54" s="918">
        <v>58.552999999999997</v>
      </c>
      <c r="D54" s="919">
        <v>193.44955397452802</v>
      </c>
      <c r="E54" s="671">
        <v>30.485722325603799</v>
      </c>
      <c r="F54" s="699">
        <f t="shared" si="4"/>
        <v>252.00255397452801</v>
      </c>
      <c r="G54" s="672"/>
      <c r="H54" s="670"/>
      <c r="I54" s="671"/>
      <c r="J54" s="696"/>
      <c r="K54" s="672"/>
      <c r="L54" s="670"/>
      <c r="M54" s="671"/>
      <c r="N54" s="696"/>
      <c r="P54" s="665">
        <f t="shared" si="5"/>
        <v>58.974493864793658</v>
      </c>
      <c r="Q54" s="472"/>
      <c r="R54" s="666"/>
    </row>
    <row r="55" spans="1:18" ht="15" customHeight="1" x14ac:dyDescent="0.2">
      <c r="B55" s="668" t="s">
        <v>291</v>
      </c>
      <c r="C55" s="918">
        <v>228.721</v>
      </c>
      <c r="D55" s="919">
        <v>1589.25594897781</v>
      </c>
      <c r="E55" s="671">
        <v>27.036592215103699</v>
      </c>
      <c r="F55" s="699">
        <f t="shared" si="4"/>
        <v>1817.97694897781</v>
      </c>
      <c r="G55" s="672"/>
      <c r="H55" s="670"/>
      <c r="I55" s="671"/>
      <c r="J55" s="696"/>
      <c r="K55" s="672"/>
      <c r="L55" s="670"/>
      <c r="M55" s="671"/>
      <c r="N55" s="696"/>
      <c r="P55" s="665">
        <f t="shared" si="5"/>
        <v>429.680650179407</v>
      </c>
      <c r="Q55" s="472"/>
      <c r="R55" s="666"/>
    </row>
    <row r="56" spans="1:18" ht="15" customHeight="1" x14ac:dyDescent="0.2">
      <c r="B56" s="668" t="s">
        <v>292</v>
      </c>
      <c r="C56" s="918">
        <v>67.268000000000001</v>
      </c>
      <c r="D56" s="919">
        <v>1423.6310772207801</v>
      </c>
      <c r="E56" s="671">
        <v>16.6564066001926</v>
      </c>
      <c r="F56" s="699">
        <f t="shared" si="4"/>
        <v>1490.8990772207801</v>
      </c>
      <c r="G56" s="672"/>
      <c r="H56" s="670"/>
      <c r="I56" s="671"/>
      <c r="J56" s="696"/>
      <c r="K56" s="672"/>
      <c r="L56" s="670"/>
      <c r="M56" s="671"/>
      <c r="N56" s="696"/>
      <c r="P56" s="665">
        <f t="shared" si="5"/>
        <v>237.12578070859502</v>
      </c>
      <c r="Q56" s="472"/>
      <c r="R56" s="666"/>
    </row>
    <row r="57" spans="1:18" ht="15" customHeight="1" x14ac:dyDescent="0.2">
      <c r="B57" s="668" t="s">
        <v>293</v>
      </c>
      <c r="C57" s="918">
        <v>12.196999999999999</v>
      </c>
      <c r="D57" s="919">
        <v>1383.55273962412</v>
      </c>
      <c r="E57" s="671">
        <v>18.9371216620574</v>
      </c>
      <c r="F57" s="699">
        <f t="shared" si="4"/>
        <v>1395.7497396241199</v>
      </c>
      <c r="G57" s="672"/>
      <c r="H57" s="670"/>
      <c r="I57" s="671"/>
      <c r="J57" s="696"/>
      <c r="K57" s="672"/>
      <c r="L57" s="670"/>
      <c r="M57" s="671"/>
      <c r="N57" s="696"/>
      <c r="P57" s="665">
        <f t="shared" si="5"/>
        <v>262.00506556134786</v>
      </c>
      <c r="Q57" s="472"/>
      <c r="R57" s="666"/>
    </row>
    <row r="58" spans="1:18" ht="15" customHeight="1" x14ac:dyDescent="0.2">
      <c r="B58" s="668" t="s">
        <v>294</v>
      </c>
      <c r="C58" s="918">
        <v>50.926000000000002</v>
      </c>
      <c r="D58" s="919">
        <v>2784.0635993022602</v>
      </c>
      <c r="E58" s="671">
        <v>19.028285984115101</v>
      </c>
      <c r="F58" s="699">
        <f t="shared" si="4"/>
        <v>2834.9895993022601</v>
      </c>
      <c r="G58" s="672"/>
      <c r="H58" s="670"/>
      <c r="I58" s="671"/>
      <c r="J58" s="696"/>
      <c r="K58" s="672"/>
      <c r="L58" s="670"/>
      <c r="M58" s="671"/>
      <c r="N58" s="696"/>
      <c r="P58" s="665">
        <f t="shared" si="5"/>
        <v>529.75958365488236</v>
      </c>
      <c r="Q58" s="472"/>
      <c r="R58" s="666"/>
    </row>
    <row r="59" spans="1:18" ht="15" customHeight="1" x14ac:dyDescent="0.2">
      <c r="B59" s="668" t="s">
        <v>295</v>
      </c>
      <c r="C59" s="918">
        <v>122.619</v>
      </c>
      <c r="D59" s="919">
        <v>3690.5654266226597</v>
      </c>
      <c r="E59" s="671">
        <v>18.3858733506455</v>
      </c>
      <c r="F59" s="699">
        <f t="shared" si="4"/>
        <v>3813.1844266226599</v>
      </c>
      <c r="G59" s="672"/>
      <c r="H59" s="670"/>
      <c r="I59" s="671"/>
      <c r="J59" s="696"/>
      <c r="K59" s="672"/>
      <c r="L59" s="670"/>
      <c r="M59" s="671"/>
      <c r="N59" s="696"/>
      <c r="P59" s="665">
        <f t="shared" si="5"/>
        <v>678.54268526155192</v>
      </c>
      <c r="Q59" s="472"/>
      <c r="R59" s="666"/>
    </row>
    <row r="60" spans="1:18" ht="15" customHeight="1" thickBot="1" x14ac:dyDescent="0.25">
      <c r="B60" s="677" t="s">
        <v>296</v>
      </c>
      <c r="C60" s="920">
        <v>107.742</v>
      </c>
      <c r="D60" s="921">
        <v>1660.6559865362099</v>
      </c>
      <c r="E60" s="680">
        <v>13.5064793370733</v>
      </c>
      <c r="F60" s="702">
        <f t="shared" si="4"/>
        <v>1768.3979865362098</v>
      </c>
      <c r="G60" s="672"/>
      <c r="H60" s="670"/>
      <c r="I60" s="671"/>
      <c r="J60" s="696"/>
      <c r="K60" s="672"/>
      <c r="L60" s="670"/>
      <c r="M60" s="671"/>
      <c r="N60" s="696"/>
      <c r="P60" s="683">
        <f t="shared" si="5"/>
        <v>224.29615768138396</v>
      </c>
      <c r="Q60" s="684"/>
      <c r="R60" s="685"/>
    </row>
    <row r="62" spans="1:18" ht="15" customHeight="1" thickBot="1" x14ac:dyDescent="0.25"/>
    <row r="63" spans="1:18" ht="15" customHeight="1" x14ac:dyDescent="0.2">
      <c r="A63" t="s">
        <v>847</v>
      </c>
      <c r="B63" s="1000" t="s">
        <v>753</v>
      </c>
      <c r="C63" s="1002" t="s">
        <v>846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843</v>
      </c>
      <c r="Q63" s="996"/>
      <c r="R63" s="998"/>
    </row>
    <row r="64" spans="1:18" ht="15" customHeight="1" x14ac:dyDescent="0.2">
      <c r="B64" s="1000"/>
      <c r="C64" s="955" t="s">
        <v>78</v>
      </c>
      <c r="D64" s="955" t="s">
        <v>309</v>
      </c>
      <c r="E64" s="955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956" t="s">
        <v>844</v>
      </c>
      <c r="D65" s="956" t="s">
        <v>844</v>
      </c>
      <c r="E65" s="655" t="s">
        <v>82</v>
      </c>
      <c r="F65" s="694" t="s">
        <v>844</v>
      </c>
      <c r="G65" s="693"/>
      <c r="H65" s="693"/>
      <c r="I65" s="695"/>
      <c r="J65" s="693"/>
      <c r="K65" s="693"/>
      <c r="L65" s="693"/>
      <c r="M65" s="695"/>
      <c r="N65" s="693"/>
      <c r="P65" s="656" t="s">
        <v>310</v>
      </c>
      <c r="Q65" s="657"/>
      <c r="R65" s="658"/>
    </row>
    <row r="66" spans="2:18" ht="15" customHeight="1" x14ac:dyDescent="0.2">
      <c r="B66" s="659" t="s">
        <v>721</v>
      </c>
      <c r="C66" s="660">
        <v>3.077</v>
      </c>
      <c r="D66" s="661">
        <v>35.184022173160407</v>
      </c>
      <c r="E66" s="662">
        <v>5.2109651544763897</v>
      </c>
      <c r="F66" s="663">
        <f t="shared" ref="F66:F80" si="6">C66+D66</f>
        <v>38.261022173160406</v>
      </c>
      <c r="G66" s="664"/>
      <c r="H66" s="661"/>
      <c r="I66" s="662"/>
      <c r="J66" s="696"/>
      <c r="K66" s="664"/>
      <c r="L66" s="661"/>
      <c r="M66" s="662"/>
      <c r="N66" s="696"/>
      <c r="P66" s="665">
        <f t="shared" ref="P66:P80" si="7">D66*E66/100</f>
        <v>1.8334271353866354</v>
      </c>
      <c r="Q66" s="472"/>
      <c r="R66" s="666"/>
    </row>
    <row r="67" spans="2:18" ht="15" customHeight="1" x14ac:dyDescent="0.2">
      <c r="B67" s="668" t="s">
        <v>286</v>
      </c>
      <c r="C67" s="669">
        <v>0.37</v>
      </c>
      <c r="D67" s="670">
        <v>4.0199774017827998</v>
      </c>
      <c r="E67" s="671">
        <v>15.439650218731099</v>
      </c>
      <c r="F67" s="663">
        <f t="shared" si="6"/>
        <v>4.3899774017827999</v>
      </c>
      <c r="G67" s="672"/>
      <c r="H67" s="670"/>
      <c r="I67" s="671"/>
      <c r="J67" s="696"/>
      <c r="K67" s="672"/>
      <c r="L67" s="670"/>
      <c r="M67" s="671"/>
      <c r="N67" s="696"/>
      <c r="P67" s="665">
        <f t="shared" si="7"/>
        <v>0.62067044970729879</v>
      </c>
      <c r="Q67" s="472"/>
      <c r="R67" s="666"/>
    </row>
    <row r="68" spans="2:18" ht="15" customHeight="1" x14ac:dyDescent="0.2">
      <c r="B68" s="668" t="s">
        <v>307</v>
      </c>
      <c r="C68" s="669">
        <v>2.5000000000000001E-2</v>
      </c>
      <c r="D68" s="670">
        <v>4.5536266870494098</v>
      </c>
      <c r="E68" s="671">
        <v>14.2310137077791</v>
      </c>
      <c r="F68" s="663">
        <f t="shared" si="6"/>
        <v>4.5786266870494101</v>
      </c>
      <c r="G68" s="672"/>
      <c r="H68" s="670"/>
      <c r="I68" s="671"/>
      <c r="J68" s="696"/>
      <c r="K68" s="672"/>
      <c r="L68" s="670"/>
      <c r="M68" s="671"/>
      <c r="N68" s="696"/>
      <c r="P68" s="665">
        <f t="shared" si="7"/>
        <v>0.64802723803508888</v>
      </c>
      <c r="Q68" s="472"/>
      <c r="R68" s="666"/>
    </row>
    <row r="69" spans="2:18" ht="15" customHeight="1" x14ac:dyDescent="0.2">
      <c r="B69" s="668" t="s">
        <v>287</v>
      </c>
      <c r="C69" s="669">
        <v>0.32200000000000001</v>
      </c>
      <c r="D69" s="670">
        <v>2.1324093549681402</v>
      </c>
      <c r="E69" s="671">
        <v>24.039717771828901</v>
      </c>
      <c r="F69" s="663">
        <f t="shared" si="6"/>
        <v>2.4544093549681403</v>
      </c>
      <c r="G69" s="672"/>
      <c r="H69" s="670"/>
      <c r="I69" s="671"/>
      <c r="J69" s="696"/>
      <c r="K69" s="672"/>
      <c r="L69" s="670"/>
      <c r="M69" s="671"/>
      <c r="N69" s="696"/>
      <c r="P69" s="665">
        <f t="shared" si="7"/>
        <v>0.51262519067441803</v>
      </c>
      <c r="Q69" s="472"/>
      <c r="R69" s="666"/>
    </row>
    <row r="70" spans="2:18" ht="15" customHeight="1" x14ac:dyDescent="0.2">
      <c r="B70" s="668" t="s">
        <v>288</v>
      </c>
      <c r="C70" s="669">
        <v>0.11799999999999999</v>
      </c>
      <c r="D70" s="670">
        <v>1.5525882923050498</v>
      </c>
      <c r="E70" s="671">
        <v>30.7921304309661</v>
      </c>
      <c r="F70" s="663">
        <f t="shared" si="6"/>
        <v>1.6705882923050499</v>
      </c>
      <c r="G70" s="672"/>
      <c r="H70" s="670"/>
      <c r="I70" s="671"/>
      <c r="J70" s="696"/>
      <c r="K70" s="672"/>
      <c r="L70" s="670"/>
      <c r="M70" s="671"/>
      <c r="N70" s="696"/>
      <c r="P70" s="665">
        <f t="shared" si="7"/>
        <v>0.47807501202248015</v>
      </c>
      <c r="Q70" s="472"/>
      <c r="R70" s="666"/>
    </row>
    <row r="71" spans="2:18" ht="15" customHeight="1" x14ac:dyDescent="0.2">
      <c r="B71" s="668" t="s">
        <v>305</v>
      </c>
      <c r="C71" s="669">
        <v>1.4E-2</v>
      </c>
      <c r="D71" s="670">
        <v>0.38730181868040398</v>
      </c>
      <c r="E71" s="671">
        <v>49.167181599740701</v>
      </c>
      <c r="F71" s="663">
        <f t="shared" si="6"/>
        <v>0.40130181868040399</v>
      </c>
      <c r="G71" s="672"/>
      <c r="H71" s="670"/>
      <c r="I71" s="671"/>
      <c r="J71" s="696"/>
      <c r="K71" s="672"/>
      <c r="L71" s="670"/>
      <c r="M71" s="671"/>
      <c r="N71" s="696"/>
      <c r="P71" s="665">
        <f t="shared" si="7"/>
        <v>0.19042538852969268</v>
      </c>
      <c r="Q71" s="472"/>
      <c r="R71" s="666"/>
    </row>
    <row r="72" spans="2:18" ht="15" customHeight="1" x14ac:dyDescent="0.2">
      <c r="B72" s="668" t="s">
        <v>289</v>
      </c>
      <c r="C72" s="669">
        <v>7.0000000000000001E-3</v>
      </c>
      <c r="D72" s="670">
        <v>0.47443897419169601</v>
      </c>
      <c r="E72" s="671">
        <v>39.0510296402921</v>
      </c>
      <c r="F72" s="663">
        <f t="shared" si="6"/>
        <v>0.48143897419169601</v>
      </c>
      <c r="G72" s="672"/>
      <c r="H72" s="670"/>
      <c r="I72" s="671"/>
      <c r="J72" s="696"/>
      <c r="K72" s="672"/>
      <c r="L72" s="670"/>
      <c r="M72" s="671"/>
      <c r="N72" s="696"/>
      <c r="P72" s="665">
        <f t="shared" si="7"/>
        <v>0.18527330443669701</v>
      </c>
      <c r="Q72" s="472"/>
      <c r="R72" s="666"/>
    </row>
    <row r="73" spans="2:18" ht="15" customHeight="1" x14ac:dyDescent="0.2">
      <c r="B73" s="668" t="s">
        <v>306</v>
      </c>
      <c r="C73" s="669">
        <v>0.105</v>
      </c>
      <c r="D73" s="670">
        <v>1.1482537882863</v>
      </c>
      <c r="E73" s="671">
        <v>27.752555564254799</v>
      </c>
      <c r="F73" s="663">
        <f t="shared" si="6"/>
        <v>1.2532537882863</v>
      </c>
      <c r="G73" s="672"/>
      <c r="H73" s="670"/>
      <c r="I73" s="671"/>
      <c r="J73" s="696"/>
      <c r="K73" s="672"/>
      <c r="L73" s="670"/>
      <c r="M73" s="671"/>
      <c r="N73" s="696"/>
      <c r="P73" s="665">
        <f t="shared" si="7"/>
        <v>0.31866977061281604</v>
      </c>
      <c r="Q73" s="472"/>
      <c r="R73" s="666"/>
    </row>
    <row r="74" spans="2:18" ht="15" customHeight="1" x14ac:dyDescent="0.2">
      <c r="B74" s="668" t="s">
        <v>290</v>
      </c>
      <c r="C74" s="669">
        <v>0.18099999999999999</v>
      </c>
      <c r="D74" s="670">
        <v>0.70912418127838206</v>
      </c>
      <c r="E74" s="671">
        <v>30.0450319050316</v>
      </c>
      <c r="F74" s="663">
        <f t="shared" si="6"/>
        <v>0.890124181278382</v>
      </c>
      <c r="G74" s="672"/>
      <c r="H74" s="670"/>
      <c r="I74" s="671"/>
      <c r="J74" s="696"/>
      <c r="K74" s="672"/>
      <c r="L74" s="670"/>
      <c r="M74" s="671"/>
      <c r="N74" s="696"/>
      <c r="P74" s="665">
        <f t="shared" si="7"/>
        <v>0.21305658651138401</v>
      </c>
      <c r="Q74" s="472"/>
      <c r="R74" s="666"/>
    </row>
    <row r="75" spans="2:18" ht="15" customHeight="1" x14ac:dyDescent="0.2">
      <c r="B75" s="668" t="s">
        <v>291</v>
      </c>
      <c r="C75" s="669">
        <v>0.64800000000000002</v>
      </c>
      <c r="D75" s="670">
        <v>2.4510115354505801</v>
      </c>
      <c r="E75" s="671">
        <v>23.6026575409639</v>
      </c>
      <c r="F75" s="663">
        <f t="shared" si="6"/>
        <v>3.0990115354505803</v>
      </c>
      <c r="G75" s="672"/>
      <c r="H75" s="670"/>
      <c r="I75" s="671"/>
      <c r="J75" s="696"/>
      <c r="K75" s="672"/>
      <c r="L75" s="670"/>
      <c r="M75" s="671"/>
      <c r="N75" s="696"/>
      <c r="P75" s="665">
        <f t="shared" si="7"/>
        <v>0.57850385900192147</v>
      </c>
      <c r="Q75" s="472"/>
      <c r="R75" s="666"/>
    </row>
    <row r="76" spans="2:18" ht="15" customHeight="1" x14ac:dyDescent="0.2">
      <c r="B76" s="668" t="s">
        <v>292</v>
      </c>
      <c r="C76" s="669">
        <v>0.20699999999999999</v>
      </c>
      <c r="D76" s="670">
        <v>2.4269698431255899</v>
      </c>
      <c r="E76" s="671">
        <v>16.1111660321668</v>
      </c>
      <c r="F76" s="663">
        <f t="shared" si="6"/>
        <v>2.6339698431255898</v>
      </c>
      <c r="G76" s="672"/>
      <c r="H76" s="670"/>
      <c r="I76" s="671"/>
      <c r="J76" s="696"/>
      <c r="K76" s="672"/>
      <c r="L76" s="670"/>
      <c r="M76" s="671"/>
      <c r="N76" s="696"/>
      <c r="P76" s="665">
        <f t="shared" si="7"/>
        <v>0.39101314097658191</v>
      </c>
      <c r="Q76" s="472"/>
      <c r="R76" s="666"/>
    </row>
    <row r="77" spans="2:18" ht="15" customHeight="1" x14ac:dyDescent="0.2">
      <c r="B77" s="668" t="s">
        <v>293</v>
      </c>
      <c r="C77" s="669">
        <v>3.5999999999999997E-2</v>
      </c>
      <c r="D77" s="670">
        <v>2.3858370907404503</v>
      </c>
      <c r="E77" s="671">
        <v>15.893693349364</v>
      </c>
      <c r="F77" s="663">
        <f t="shared" si="6"/>
        <v>2.4218370907404503</v>
      </c>
      <c r="G77" s="672"/>
      <c r="H77" s="670"/>
      <c r="I77" s="671"/>
      <c r="J77" s="696"/>
      <c r="K77" s="672"/>
      <c r="L77" s="670"/>
      <c r="M77" s="671"/>
      <c r="N77" s="696"/>
      <c r="P77" s="665">
        <f t="shared" si="7"/>
        <v>0.37919763101767451</v>
      </c>
      <c r="Q77" s="472"/>
      <c r="R77" s="666"/>
    </row>
    <row r="78" spans="2:18" ht="15" customHeight="1" x14ac:dyDescent="0.2">
      <c r="B78" s="668" t="s">
        <v>294</v>
      </c>
      <c r="C78" s="669">
        <v>0.187</v>
      </c>
      <c r="D78" s="670">
        <v>4.2060825747231805</v>
      </c>
      <c r="E78" s="671">
        <v>15.5977570549863</v>
      </c>
      <c r="F78" s="663">
        <f t="shared" si="6"/>
        <v>4.3930825747231808</v>
      </c>
      <c r="G78" s="672"/>
      <c r="H78" s="670"/>
      <c r="I78" s="671"/>
      <c r="J78" s="696"/>
      <c r="K78" s="672"/>
      <c r="L78" s="670"/>
      <c r="M78" s="671"/>
      <c r="N78" s="696"/>
      <c r="P78" s="665">
        <f t="shared" si="7"/>
        <v>0.65605454153743425</v>
      </c>
      <c r="Q78" s="472"/>
      <c r="R78" s="666"/>
    </row>
    <row r="79" spans="2:18" ht="15" customHeight="1" x14ac:dyDescent="0.2">
      <c r="B79" s="668" t="s">
        <v>295</v>
      </c>
      <c r="C79" s="669">
        <v>0.42499999999999999</v>
      </c>
      <c r="D79" s="670">
        <v>5.3031938883710596</v>
      </c>
      <c r="E79" s="671">
        <v>14.6051349338743</v>
      </c>
      <c r="F79" s="663">
        <f t="shared" si="6"/>
        <v>5.7281938883710595</v>
      </c>
      <c r="G79" s="672"/>
      <c r="H79" s="670"/>
      <c r="I79" s="671"/>
      <c r="J79" s="696"/>
      <c r="K79" s="672"/>
      <c r="L79" s="670"/>
      <c r="M79" s="671"/>
      <c r="N79" s="696"/>
      <c r="P79" s="665">
        <f t="shared" si="7"/>
        <v>0.77453862320156841</v>
      </c>
      <c r="Q79" s="472"/>
      <c r="R79" s="666"/>
    </row>
    <row r="80" spans="2:18" ht="15" customHeight="1" thickBot="1" x14ac:dyDescent="0.25">
      <c r="B80" s="677" t="s">
        <v>296</v>
      </c>
      <c r="C80" s="678">
        <v>0.432</v>
      </c>
      <c r="D80" s="679">
        <v>3.43320674220737</v>
      </c>
      <c r="E80" s="680">
        <v>12.5533411095383</v>
      </c>
      <c r="F80" s="681">
        <f t="shared" si="6"/>
        <v>3.8652067422073699</v>
      </c>
      <c r="G80" s="672"/>
      <c r="H80" s="670"/>
      <c r="I80" s="671"/>
      <c r="J80" s="696"/>
      <c r="K80" s="672"/>
      <c r="L80" s="670"/>
      <c r="M80" s="671"/>
      <c r="N80" s="696"/>
      <c r="P80" s="683">
        <f t="shared" si="7"/>
        <v>0.43098215334495843</v>
      </c>
      <c r="Q80" s="684"/>
      <c r="R80" s="685"/>
    </row>
    <row r="82" spans="1:18" ht="15" customHeight="1" thickBot="1" x14ac:dyDescent="0.25"/>
    <row r="83" spans="1:18" ht="15" customHeight="1" x14ac:dyDescent="0.2">
      <c r="A83" t="s">
        <v>845</v>
      </c>
      <c r="B83" s="1000" t="s">
        <v>753</v>
      </c>
      <c r="C83" s="1002" t="s">
        <v>848</v>
      </c>
      <c r="D83" s="1002"/>
      <c r="E83" s="1002"/>
      <c r="F83" s="1005"/>
      <c r="G83" s="690"/>
      <c r="H83" s="691"/>
      <c r="I83" s="691"/>
      <c r="J83" s="691"/>
      <c r="K83" s="691"/>
      <c r="L83" s="691"/>
      <c r="M83" s="691"/>
      <c r="N83" s="691"/>
      <c r="P83" s="1003" t="s">
        <v>840</v>
      </c>
      <c r="Q83" s="996"/>
      <c r="R83" s="998"/>
    </row>
    <row r="84" spans="1:18" ht="15" customHeight="1" x14ac:dyDescent="0.2">
      <c r="B84" s="1000"/>
      <c r="C84" s="955" t="s">
        <v>78</v>
      </c>
      <c r="D84" s="955" t="s">
        <v>309</v>
      </c>
      <c r="E84" s="955"/>
      <c r="F84" s="692" t="s">
        <v>80</v>
      </c>
      <c r="G84" s="693"/>
      <c r="H84" s="693"/>
      <c r="I84" s="693"/>
      <c r="J84" s="693"/>
      <c r="K84" s="693"/>
      <c r="L84" s="693"/>
      <c r="M84" s="693"/>
      <c r="N84" s="693"/>
      <c r="P84" s="1004"/>
      <c r="Q84" s="997"/>
      <c r="R84" s="999"/>
    </row>
    <row r="85" spans="1:18" ht="15" customHeight="1" thickBot="1" x14ac:dyDescent="0.25">
      <c r="B85" s="1001"/>
      <c r="C85" s="956" t="s">
        <v>841</v>
      </c>
      <c r="D85" s="956" t="s">
        <v>841</v>
      </c>
      <c r="E85" s="655" t="s">
        <v>82</v>
      </c>
      <c r="F85" s="694" t="s">
        <v>841</v>
      </c>
      <c r="G85" s="693"/>
      <c r="H85" s="693"/>
      <c r="I85" s="695"/>
      <c r="J85" s="693"/>
      <c r="K85" s="693"/>
      <c r="L85" s="693"/>
      <c r="M85" s="695"/>
      <c r="N85" s="693"/>
      <c r="P85" s="656" t="s">
        <v>310</v>
      </c>
      <c r="Q85" s="657"/>
      <c r="R85" s="658"/>
    </row>
    <row r="86" spans="1:18" ht="15" customHeight="1" x14ac:dyDescent="0.2">
      <c r="B86" s="659" t="s">
        <v>721</v>
      </c>
      <c r="C86" s="916">
        <v>178.58099999999999</v>
      </c>
      <c r="D86" s="917">
        <v>95384.012655135346</v>
      </c>
      <c r="E86" s="662">
        <v>2.6512098692388602</v>
      </c>
      <c r="F86" s="699">
        <f t="shared" ref="F86:F100" si="8">C86+D86</f>
        <v>95562.593655135352</v>
      </c>
      <c r="G86" s="664"/>
      <c r="H86" s="661"/>
      <c r="I86" s="662"/>
      <c r="J86" s="696"/>
      <c r="K86" s="664"/>
      <c r="L86" s="661"/>
      <c r="M86" s="662"/>
      <c r="N86" s="696"/>
      <c r="P86" s="665">
        <f t="shared" ref="P86:P100" si="9">D86*E86/100</f>
        <v>2528.8303571889915</v>
      </c>
      <c r="Q86" s="472"/>
      <c r="R86" s="666"/>
    </row>
    <row r="87" spans="1:18" ht="15" customHeight="1" x14ac:dyDescent="0.2">
      <c r="B87" s="668" t="s">
        <v>286</v>
      </c>
      <c r="C87" s="918">
        <v>1.31</v>
      </c>
      <c r="D87" s="919">
        <v>3940.8616735759897</v>
      </c>
      <c r="E87" s="671">
        <v>9.9876444169698697</v>
      </c>
      <c r="F87" s="699">
        <f t="shared" si="8"/>
        <v>3942.1716735759896</v>
      </c>
      <c r="G87" s="672"/>
      <c r="H87" s="670"/>
      <c r="I87" s="671"/>
      <c r="J87" s="696"/>
      <c r="K87" s="672"/>
      <c r="L87" s="670"/>
      <c r="M87" s="671"/>
      <c r="N87" s="696"/>
      <c r="P87" s="665">
        <f t="shared" si="9"/>
        <v>393.59925092141771</v>
      </c>
      <c r="Q87" s="472"/>
      <c r="R87" s="666"/>
    </row>
    <row r="88" spans="1:18" ht="15" customHeight="1" x14ac:dyDescent="0.2">
      <c r="B88" s="668" t="s">
        <v>307</v>
      </c>
      <c r="C88" s="918">
        <v>0.2</v>
      </c>
      <c r="D88" s="919">
        <v>9427.0598001902708</v>
      </c>
      <c r="E88" s="671">
        <v>8.6168585591502307</v>
      </c>
      <c r="F88" s="699">
        <f t="shared" si="8"/>
        <v>9427.2598001902716</v>
      </c>
      <c r="G88" s="672"/>
      <c r="H88" s="670"/>
      <c r="I88" s="671"/>
      <c r="J88" s="696"/>
      <c r="K88" s="672"/>
      <c r="L88" s="670"/>
      <c r="M88" s="671"/>
      <c r="N88" s="696"/>
      <c r="P88" s="665">
        <f t="shared" si="9"/>
        <v>812.316409268906</v>
      </c>
      <c r="Q88" s="472"/>
      <c r="R88" s="666"/>
    </row>
    <row r="89" spans="1:18" ht="15" customHeight="1" x14ac:dyDescent="0.2">
      <c r="B89" s="668" t="s">
        <v>287</v>
      </c>
      <c r="C89" s="918">
        <v>10.449</v>
      </c>
      <c r="D89" s="919">
        <v>8961.2637232419784</v>
      </c>
      <c r="E89" s="671">
        <v>8.82266756659115</v>
      </c>
      <c r="F89" s="699">
        <f t="shared" si="8"/>
        <v>8971.7127232419789</v>
      </c>
      <c r="G89" s="672"/>
      <c r="H89" s="670"/>
      <c r="I89" s="671"/>
      <c r="J89" s="696"/>
      <c r="K89" s="672"/>
      <c r="L89" s="670"/>
      <c r="M89" s="671"/>
      <c r="N89" s="696"/>
      <c r="P89" s="665">
        <f t="shared" si="9"/>
        <v>790.6225080671685</v>
      </c>
      <c r="Q89" s="472"/>
      <c r="R89" s="666"/>
    </row>
    <row r="90" spans="1:18" ht="15" customHeight="1" x14ac:dyDescent="0.2">
      <c r="B90" s="668" t="s">
        <v>288</v>
      </c>
      <c r="C90" s="918">
        <v>4.9450000000000003</v>
      </c>
      <c r="D90" s="919">
        <v>3434.7703462908903</v>
      </c>
      <c r="E90" s="671">
        <v>15.4346230006976</v>
      </c>
      <c r="F90" s="699">
        <f t="shared" si="8"/>
        <v>3439.7153462908905</v>
      </c>
      <c r="G90" s="672"/>
      <c r="H90" s="670"/>
      <c r="I90" s="671"/>
      <c r="J90" s="696"/>
      <c r="K90" s="672"/>
      <c r="L90" s="670"/>
      <c r="M90" s="671"/>
      <c r="N90" s="696"/>
      <c r="P90" s="665">
        <f t="shared" si="9"/>
        <v>530.14385388975438</v>
      </c>
      <c r="Q90" s="472"/>
      <c r="R90" s="666"/>
    </row>
    <row r="91" spans="1:18" ht="15" customHeight="1" x14ac:dyDescent="0.2">
      <c r="B91" s="668" t="s">
        <v>305</v>
      </c>
      <c r="C91" s="918">
        <v>6.5170000000000003</v>
      </c>
      <c r="D91" s="919">
        <v>2354.1257094860598</v>
      </c>
      <c r="E91" s="671">
        <v>23.251435530416099</v>
      </c>
      <c r="F91" s="699">
        <f t="shared" si="8"/>
        <v>2360.6427094860596</v>
      </c>
      <c r="G91" s="672"/>
      <c r="H91" s="670"/>
      <c r="I91" s="671"/>
      <c r="J91" s="696"/>
      <c r="K91" s="672"/>
      <c r="L91" s="670"/>
      <c r="M91" s="671"/>
      <c r="N91" s="696"/>
      <c r="P91" s="665">
        <f t="shared" si="9"/>
        <v>547.36802164610174</v>
      </c>
      <c r="Q91" s="472"/>
      <c r="R91" s="666"/>
    </row>
    <row r="92" spans="1:18" ht="15" customHeight="1" x14ac:dyDescent="0.2">
      <c r="B92" s="668" t="s">
        <v>289</v>
      </c>
      <c r="C92" s="918">
        <v>0.255</v>
      </c>
      <c r="D92" s="919">
        <v>2728.6457014489001</v>
      </c>
      <c r="E92" s="671">
        <v>24.340315864426401</v>
      </c>
      <c r="F92" s="699">
        <f t="shared" si="8"/>
        <v>2728.9007014489002</v>
      </c>
      <c r="G92" s="672"/>
      <c r="H92" s="670"/>
      <c r="I92" s="671"/>
      <c r="J92" s="696"/>
      <c r="K92" s="672"/>
      <c r="L92" s="670"/>
      <c r="M92" s="671"/>
      <c r="N92" s="696"/>
      <c r="P92" s="665">
        <f t="shared" si="9"/>
        <v>664.16098255375573</v>
      </c>
      <c r="Q92" s="472"/>
      <c r="R92" s="666"/>
    </row>
    <row r="93" spans="1:18" ht="15" customHeight="1" x14ac:dyDescent="0.2">
      <c r="B93" s="668" t="s">
        <v>306</v>
      </c>
      <c r="C93" s="918">
        <v>1.8009999999999999</v>
      </c>
      <c r="D93" s="919">
        <v>6929.1880667245096</v>
      </c>
      <c r="E93" s="671">
        <v>10.023710905388199</v>
      </c>
      <c r="F93" s="699">
        <f t="shared" si="8"/>
        <v>6930.9890667245099</v>
      </c>
      <c r="G93" s="672"/>
      <c r="H93" s="670"/>
      <c r="I93" s="671"/>
      <c r="J93" s="696"/>
      <c r="K93" s="672"/>
      <c r="L93" s="670"/>
      <c r="M93" s="671"/>
      <c r="N93" s="696"/>
      <c r="P93" s="665">
        <f t="shared" si="9"/>
        <v>694.56177989912237</v>
      </c>
      <c r="Q93" s="472"/>
      <c r="R93" s="666"/>
    </row>
    <row r="94" spans="1:18" ht="15" customHeight="1" x14ac:dyDescent="0.2">
      <c r="B94" s="668" t="s">
        <v>290</v>
      </c>
      <c r="C94" s="918">
        <v>11.048999999999999</v>
      </c>
      <c r="D94" s="919">
        <v>4693.2140048256706</v>
      </c>
      <c r="E94" s="671">
        <v>11.180216231734599</v>
      </c>
      <c r="F94" s="699">
        <f t="shared" si="8"/>
        <v>4704.2630048256706</v>
      </c>
      <c r="G94" s="672"/>
      <c r="H94" s="670"/>
      <c r="I94" s="671"/>
      <c r="J94" s="696"/>
      <c r="K94" s="672"/>
      <c r="L94" s="670"/>
      <c r="M94" s="671"/>
      <c r="N94" s="696"/>
      <c r="P94" s="665">
        <f t="shared" si="9"/>
        <v>524.711473957561</v>
      </c>
      <c r="Q94" s="472"/>
      <c r="R94" s="666"/>
    </row>
    <row r="95" spans="1:18" ht="15" customHeight="1" x14ac:dyDescent="0.2">
      <c r="B95" s="668" t="s">
        <v>291</v>
      </c>
      <c r="C95" s="918">
        <v>8.0609999999999999</v>
      </c>
      <c r="D95" s="919">
        <v>2451.6505613269701</v>
      </c>
      <c r="E95" s="671">
        <v>13.124497999775</v>
      </c>
      <c r="F95" s="699">
        <f t="shared" si="8"/>
        <v>2459.7115613269702</v>
      </c>
      <c r="G95" s="672"/>
      <c r="H95" s="670"/>
      <c r="I95" s="671"/>
      <c r="J95" s="696"/>
      <c r="K95" s="672"/>
      <c r="L95" s="670"/>
      <c r="M95" s="671"/>
      <c r="N95" s="696"/>
      <c r="P95" s="665">
        <f t="shared" si="9"/>
        <v>321.76682888283079</v>
      </c>
      <c r="Q95" s="472"/>
      <c r="R95" s="666"/>
    </row>
    <row r="96" spans="1:18" ht="15" customHeight="1" x14ac:dyDescent="0.2">
      <c r="B96" s="668" t="s">
        <v>292</v>
      </c>
      <c r="C96" s="918">
        <v>11.366</v>
      </c>
      <c r="D96" s="919">
        <v>11308.4977199637</v>
      </c>
      <c r="E96" s="671">
        <v>5.97787627947028</v>
      </c>
      <c r="F96" s="699">
        <f t="shared" si="8"/>
        <v>11319.8637199637</v>
      </c>
      <c r="G96" s="672"/>
      <c r="H96" s="670"/>
      <c r="I96" s="671"/>
      <c r="J96" s="696"/>
      <c r="K96" s="672"/>
      <c r="L96" s="670"/>
      <c r="M96" s="671"/>
      <c r="N96" s="696"/>
      <c r="P96" s="665">
        <f t="shared" si="9"/>
        <v>676.00800276614746</v>
      </c>
      <c r="Q96" s="472"/>
      <c r="R96" s="666"/>
    </row>
    <row r="97" spans="1:18" ht="15" customHeight="1" x14ac:dyDescent="0.2">
      <c r="B97" s="668" t="s">
        <v>293</v>
      </c>
      <c r="C97" s="918">
        <v>0.51600000000000001</v>
      </c>
      <c r="D97" s="919">
        <v>8687.5026493570003</v>
      </c>
      <c r="E97" s="671">
        <v>6.9870682845201797</v>
      </c>
      <c r="F97" s="699">
        <f t="shared" si="8"/>
        <v>8688.018649357</v>
      </c>
      <c r="G97" s="672"/>
      <c r="H97" s="670"/>
      <c r="I97" s="671"/>
      <c r="J97" s="696"/>
      <c r="K97" s="672"/>
      <c r="L97" s="670"/>
      <c r="M97" s="671"/>
      <c r="N97" s="696"/>
      <c r="P97" s="665">
        <f t="shared" si="9"/>
        <v>607.00174233007328</v>
      </c>
      <c r="Q97" s="472"/>
      <c r="R97" s="666"/>
    </row>
    <row r="98" spans="1:18" ht="15" customHeight="1" x14ac:dyDescent="0.2">
      <c r="B98" s="668" t="s">
        <v>294</v>
      </c>
      <c r="C98" s="918">
        <v>14.818</v>
      </c>
      <c r="D98" s="919">
        <v>10759.5971788722</v>
      </c>
      <c r="E98" s="671">
        <v>7.3665743858472297</v>
      </c>
      <c r="F98" s="699">
        <f t="shared" si="8"/>
        <v>10774.415178872199</v>
      </c>
      <c r="G98" s="672"/>
      <c r="H98" s="670"/>
      <c r="I98" s="671"/>
      <c r="J98" s="696"/>
      <c r="K98" s="672"/>
      <c r="L98" s="670"/>
      <c r="M98" s="671"/>
      <c r="N98" s="696"/>
      <c r="P98" s="665">
        <f t="shared" si="9"/>
        <v>792.61372979914051</v>
      </c>
      <c r="Q98" s="472"/>
      <c r="R98" s="666"/>
    </row>
    <row r="99" spans="1:18" ht="15" customHeight="1" x14ac:dyDescent="0.2">
      <c r="B99" s="668" t="s">
        <v>295</v>
      </c>
      <c r="C99" s="918">
        <v>105.283</v>
      </c>
      <c r="D99" s="919">
        <v>13777.1631435197</v>
      </c>
      <c r="E99" s="671">
        <v>8.6778540106644506</v>
      </c>
      <c r="F99" s="699">
        <f t="shared" si="8"/>
        <v>13882.446143519699</v>
      </c>
      <c r="G99" s="672"/>
      <c r="H99" s="670"/>
      <c r="I99" s="671"/>
      <c r="J99" s="696"/>
      <c r="K99" s="672"/>
      <c r="L99" s="670"/>
      <c r="M99" s="671"/>
      <c r="N99" s="696"/>
      <c r="P99" s="665">
        <f t="shared" si="9"/>
        <v>1195.5621044057089</v>
      </c>
      <c r="Q99" s="472"/>
      <c r="R99" s="666"/>
    </row>
    <row r="100" spans="1:18" ht="15" customHeight="1" thickBot="1" x14ac:dyDescent="0.25">
      <c r="B100" s="677" t="s">
        <v>296</v>
      </c>
      <c r="C100" s="920">
        <v>2.0110000000000001</v>
      </c>
      <c r="D100" s="921">
        <v>5930.4723763115098</v>
      </c>
      <c r="E100" s="680">
        <v>7.3312431526236104</v>
      </c>
      <c r="F100" s="702">
        <f t="shared" si="8"/>
        <v>5932.4833763115103</v>
      </c>
      <c r="G100" s="672"/>
      <c r="H100" s="670"/>
      <c r="I100" s="671"/>
      <c r="J100" s="696"/>
      <c r="K100" s="672"/>
      <c r="L100" s="670"/>
      <c r="M100" s="671"/>
      <c r="N100" s="696"/>
      <c r="P100" s="683">
        <f t="shared" si="9"/>
        <v>434.77735000657231</v>
      </c>
      <c r="Q100" s="684"/>
      <c r="R100" s="685"/>
    </row>
    <row r="102" spans="1:18" ht="15" customHeight="1" thickBot="1" x14ac:dyDescent="0.25"/>
    <row r="103" spans="1:18" ht="15" customHeight="1" x14ac:dyDescent="0.2">
      <c r="A103" t="s">
        <v>847</v>
      </c>
      <c r="B103" s="1000" t="s">
        <v>753</v>
      </c>
      <c r="C103" s="1002" t="s">
        <v>848</v>
      </c>
      <c r="D103" s="1002"/>
      <c r="E103" s="1002"/>
      <c r="F103" s="1005"/>
      <c r="G103" s="690"/>
      <c r="H103" s="691"/>
      <c r="I103" s="691"/>
      <c r="J103" s="691"/>
      <c r="K103" s="691"/>
      <c r="L103" s="691"/>
      <c r="M103" s="691"/>
      <c r="N103" s="691"/>
      <c r="P103" s="1003" t="s">
        <v>843</v>
      </c>
      <c r="Q103" s="996"/>
      <c r="R103" s="998"/>
    </row>
    <row r="104" spans="1:18" ht="15" customHeight="1" x14ac:dyDescent="0.2">
      <c r="B104" s="1000"/>
      <c r="C104" s="955" t="s">
        <v>78</v>
      </c>
      <c r="D104" s="955" t="s">
        <v>309</v>
      </c>
      <c r="E104" s="955"/>
      <c r="F104" s="692" t="s">
        <v>80</v>
      </c>
      <c r="G104" s="693"/>
      <c r="H104" s="693"/>
      <c r="I104" s="693"/>
      <c r="J104" s="693"/>
      <c r="K104" s="693"/>
      <c r="L104" s="693"/>
      <c r="M104" s="693"/>
      <c r="N104" s="693"/>
      <c r="P104" s="1004"/>
      <c r="Q104" s="997"/>
      <c r="R104" s="999"/>
    </row>
    <row r="105" spans="1:18" ht="15" customHeight="1" thickBot="1" x14ac:dyDescent="0.25">
      <c r="B105" s="1001"/>
      <c r="C105" s="956" t="s">
        <v>844</v>
      </c>
      <c r="D105" s="956" t="s">
        <v>844</v>
      </c>
      <c r="E105" s="655" t="s">
        <v>82</v>
      </c>
      <c r="F105" s="694" t="s">
        <v>844</v>
      </c>
      <c r="G105" s="693"/>
      <c r="H105" s="693"/>
      <c r="I105" s="695"/>
      <c r="J105" s="693"/>
      <c r="K105" s="693"/>
      <c r="L105" s="693"/>
      <c r="M105" s="695"/>
      <c r="N105" s="693"/>
      <c r="P105" s="656" t="s">
        <v>310</v>
      </c>
      <c r="Q105" s="657"/>
      <c r="R105" s="658"/>
    </row>
    <row r="106" spans="1:18" ht="15" customHeight="1" x14ac:dyDescent="0.2">
      <c r="B106" s="659" t="s">
        <v>721</v>
      </c>
      <c r="C106" s="660">
        <v>1.157</v>
      </c>
      <c r="D106" s="661">
        <v>238.95121310174778</v>
      </c>
      <c r="E106" s="662">
        <v>1.9668291972654841</v>
      </c>
      <c r="F106" s="663">
        <f t="shared" ref="F106:F120" si="10">C106+D106</f>
        <v>240.10821310174779</v>
      </c>
      <c r="G106" s="664"/>
      <c r="H106" s="661"/>
      <c r="I106" s="662"/>
      <c r="J106" s="696"/>
      <c r="K106" s="664"/>
      <c r="L106" s="661"/>
      <c r="M106" s="662"/>
      <c r="N106" s="696"/>
      <c r="P106" s="665">
        <f t="shared" ref="P106:P120" si="11">D106*E106/100</f>
        <v>4.6997622265052419</v>
      </c>
      <c r="Q106" s="472"/>
      <c r="R106" s="666"/>
    </row>
    <row r="107" spans="1:18" ht="15" customHeight="1" x14ac:dyDescent="0.2">
      <c r="B107" s="668" t="s">
        <v>286</v>
      </c>
      <c r="C107" s="669">
        <v>1.7000000000000001E-2</v>
      </c>
      <c r="D107" s="670">
        <v>13.453741443290701</v>
      </c>
      <c r="E107" s="671">
        <v>7.4741805163400903</v>
      </c>
      <c r="F107" s="663">
        <f t="shared" si="10"/>
        <v>13.4707414432907</v>
      </c>
      <c r="G107" s="672"/>
      <c r="H107" s="670"/>
      <c r="I107" s="671"/>
      <c r="J107" s="696"/>
      <c r="K107" s="672"/>
      <c r="L107" s="670"/>
      <c r="M107" s="671"/>
      <c r="N107" s="696"/>
      <c r="P107" s="665">
        <f t="shared" si="11"/>
        <v>1.0055569216732057</v>
      </c>
      <c r="Q107" s="472"/>
      <c r="R107" s="666"/>
    </row>
    <row r="108" spans="1:18" ht="15" customHeight="1" x14ac:dyDescent="0.2">
      <c r="B108" s="668" t="s">
        <v>307</v>
      </c>
      <c r="C108" s="669">
        <v>3.0000000000000001E-3</v>
      </c>
      <c r="D108" s="670">
        <v>20.705833844882601</v>
      </c>
      <c r="E108" s="671">
        <v>6.1441062516845797</v>
      </c>
      <c r="F108" s="663">
        <f t="shared" si="10"/>
        <v>20.708833844882601</v>
      </c>
      <c r="G108" s="672"/>
      <c r="H108" s="670"/>
      <c r="I108" s="671"/>
      <c r="J108" s="696"/>
      <c r="K108" s="672"/>
      <c r="L108" s="670"/>
      <c r="M108" s="671"/>
      <c r="N108" s="696"/>
      <c r="P108" s="665">
        <f t="shared" si="11"/>
        <v>1.2721884317268535</v>
      </c>
      <c r="Q108" s="472"/>
      <c r="R108" s="666"/>
    </row>
    <row r="109" spans="1:18" ht="15" customHeight="1" x14ac:dyDescent="0.2">
      <c r="B109" s="668" t="s">
        <v>287</v>
      </c>
      <c r="C109" s="669">
        <v>7.9000000000000001E-2</v>
      </c>
      <c r="D109" s="670">
        <v>26.356493445589699</v>
      </c>
      <c r="E109" s="671">
        <v>6.6625712666185803</v>
      </c>
      <c r="F109" s="663">
        <f t="shared" si="10"/>
        <v>26.435493445589699</v>
      </c>
      <c r="G109" s="672"/>
      <c r="H109" s="670"/>
      <c r="I109" s="671"/>
      <c r="J109" s="696"/>
      <c r="K109" s="672"/>
      <c r="L109" s="670"/>
      <c r="M109" s="671"/>
      <c r="N109" s="696"/>
      <c r="P109" s="665">
        <f t="shared" si="11"/>
        <v>1.7560201591940687</v>
      </c>
      <c r="Q109" s="472"/>
      <c r="R109" s="666"/>
    </row>
    <row r="110" spans="1:18" ht="15" customHeight="1" x14ac:dyDescent="0.2">
      <c r="B110" s="668" t="s">
        <v>288</v>
      </c>
      <c r="C110" s="669">
        <v>3.9E-2</v>
      </c>
      <c r="D110" s="670">
        <v>9.7169234153175701</v>
      </c>
      <c r="E110" s="671">
        <v>10.389260553094299</v>
      </c>
      <c r="F110" s="663">
        <f t="shared" si="10"/>
        <v>9.7559234153175698</v>
      </c>
      <c r="G110" s="672"/>
      <c r="H110" s="670"/>
      <c r="I110" s="671"/>
      <c r="J110" s="696"/>
      <c r="K110" s="672"/>
      <c r="L110" s="670"/>
      <c r="M110" s="671"/>
      <c r="N110" s="696"/>
      <c r="P110" s="665">
        <f t="shared" si="11"/>
        <v>1.0095164913619716</v>
      </c>
      <c r="Q110" s="472"/>
      <c r="R110" s="666"/>
    </row>
    <row r="111" spans="1:18" ht="15" customHeight="1" x14ac:dyDescent="0.2">
      <c r="B111" s="668" t="s">
        <v>305</v>
      </c>
      <c r="C111" s="669">
        <v>4.2000000000000003E-2</v>
      </c>
      <c r="D111" s="670">
        <v>5.3310873801119092</v>
      </c>
      <c r="E111" s="671">
        <v>16.951851685508199</v>
      </c>
      <c r="F111" s="663">
        <f t="shared" si="10"/>
        <v>5.373087380111909</v>
      </c>
      <c r="G111" s="672"/>
      <c r="H111" s="670"/>
      <c r="I111" s="671"/>
      <c r="J111" s="696"/>
      <c r="K111" s="672"/>
      <c r="L111" s="670"/>
      <c r="M111" s="671"/>
      <c r="N111" s="696"/>
      <c r="P111" s="665">
        <f t="shared" si="11"/>
        <v>0.90371802590141559</v>
      </c>
      <c r="Q111" s="472"/>
      <c r="R111" s="666"/>
    </row>
    <row r="112" spans="1:18" ht="15" customHeight="1" x14ac:dyDescent="0.2">
      <c r="B112" s="668" t="s">
        <v>289</v>
      </c>
      <c r="C112" s="669">
        <v>2E-3</v>
      </c>
      <c r="D112" s="670">
        <v>7.0827100440668502</v>
      </c>
      <c r="E112" s="671">
        <v>15.145871172506901</v>
      </c>
      <c r="F112" s="663">
        <f t="shared" si="10"/>
        <v>7.08471004406685</v>
      </c>
      <c r="G112" s="672"/>
      <c r="H112" s="670"/>
      <c r="I112" s="671"/>
      <c r="J112" s="696"/>
      <c r="K112" s="672"/>
      <c r="L112" s="670"/>
      <c r="M112" s="671"/>
      <c r="N112" s="696"/>
      <c r="P112" s="665">
        <f t="shared" si="11"/>
        <v>1.0727381387965718</v>
      </c>
      <c r="Q112" s="472"/>
      <c r="R112" s="666"/>
    </row>
    <row r="113" spans="2:18" ht="15" customHeight="1" x14ac:dyDescent="0.2">
      <c r="B113" s="668" t="s">
        <v>306</v>
      </c>
      <c r="C113" s="669">
        <v>2.1999999999999999E-2</v>
      </c>
      <c r="D113" s="670">
        <v>16.1154484412783</v>
      </c>
      <c r="E113" s="671">
        <v>8.7703176736148905</v>
      </c>
      <c r="F113" s="663">
        <f t="shared" si="10"/>
        <v>16.137448441278298</v>
      </c>
      <c r="G113" s="672"/>
      <c r="H113" s="670"/>
      <c r="I113" s="671"/>
      <c r="J113" s="696"/>
      <c r="K113" s="672"/>
      <c r="L113" s="670"/>
      <c r="M113" s="671"/>
      <c r="N113" s="696"/>
      <c r="P113" s="665">
        <f t="shared" si="11"/>
        <v>1.4133760228277261</v>
      </c>
      <c r="Q113" s="472"/>
      <c r="R113" s="666"/>
    </row>
    <row r="114" spans="2:18" ht="15" customHeight="1" x14ac:dyDescent="0.2">
      <c r="B114" s="668" t="s">
        <v>290</v>
      </c>
      <c r="C114" s="669">
        <v>0.08</v>
      </c>
      <c r="D114" s="670">
        <v>10.836207981737399</v>
      </c>
      <c r="E114" s="671">
        <v>8.0498680010450094</v>
      </c>
      <c r="F114" s="663">
        <f t="shared" si="10"/>
        <v>10.916207981737399</v>
      </c>
      <c r="G114" s="672"/>
      <c r="H114" s="670"/>
      <c r="I114" s="671"/>
      <c r="J114" s="696"/>
      <c r="K114" s="672"/>
      <c r="L114" s="670"/>
      <c r="M114" s="671"/>
      <c r="N114" s="696"/>
      <c r="P114" s="665">
        <f t="shared" si="11"/>
        <v>0.87230043884856412</v>
      </c>
      <c r="Q114" s="472"/>
      <c r="R114" s="666"/>
    </row>
    <row r="115" spans="2:18" ht="15" customHeight="1" x14ac:dyDescent="0.2">
      <c r="B115" s="668" t="s">
        <v>291</v>
      </c>
      <c r="C115" s="669">
        <v>3.5000000000000003E-2</v>
      </c>
      <c r="D115" s="670">
        <v>9.4176352852702685</v>
      </c>
      <c r="E115" s="671">
        <v>12.4952816370836</v>
      </c>
      <c r="F115" s="663">
        <f t="shared" si="10"/>
        <v>9.4526352852702686</v>
      </c>
      <c r="G115" s="672"/>
      <c r="H115" s="670"/>
      <c r="I115" s="671"/>
      <c r="J115" s="696"/>
      <c r="K115" s="672"/>
      <c r="L115" s="670"/>
      <c r="M115" s="671"/>
      <c r="N115" s="696"/>
      <c r="P115" s="665">
        <f t="shared" si="11"/>
        <v>1.1767600524478816</v>
      </c>
      <c r="Q115" s="472"/>
      <c r="R115" s="666"/>
    </row>
    <row r="116" spans="2:18" ht="15" customHeight="1" x14ac:dyDescent="0.2">
      <c r="B116" s="668" t="s">
        <v>292</v>
      </c>
      <c r="C116" s="669">
        <v>0.1</v>
      </c>
      <c r="D116" s="670">
        <v>27.5512539044012</v>
      </c>
      <c r="E116" s="671">
        <v>4.3483161778698696</v>
      </c>
      <c r="F116" s="663">
        <f t="shared" si="10"/>
        <v>27.651253904401202</v>
      </c>
      <c r="G116" s="672"/>
      <c r="H116" s="670"/>
      <c r="I116" s="671"/>
      <c r="J116" s="696"/>
      <c r="K116" s="672"/>
      <c r="L116" s="670"/>
      <c r="M116" s="671"/>
      <c r="N116" s="696"/>
      <c r="P116" s="665">
        <f t="shared" si="11"/>
        <v>1.1980156307310814</v>
      </c>
      <c r="Q116" s="472"/>
      <c r="R116" s="666"/>
    </row>
    <row r="117" spans="2:18" ht="15" customHeight="1" x14ac:dyDescent="0.2">
      <c r="B117" s="668" t="s">
        <v>293</v>
      </c>
      <c r="C117" s="669">
        <v>1.4E-2</v>
      </c>
      <c r="D117" s="670">
        <v>19.928582788407901</v>
      </c>
      <c r="E117" s="671">
        <v>5.4800504139578896</v>
      </c>
      <c r="F117" s="663">
        <f t="shared" si="10"/>
        <v>19.942582788407901</v>
      </c>
      <c r="G117" s="672"/>
      <c r="H117" s="670"/>
      <c r="I117" s="671"/>
      <c r="J117" s="696"/>
      <c r="K117" s="672"/>
      <c r="L117" s="670"/>
      <c r="M117" s="671"/>
      <c r="N117" s="696"/>
      <c r="P117" s="665">
        <f t="shared" si="11"/>
        <v>1.092096383592088</v>
      </c>
      <c r="Q117" s="472"/>
      <c r="R117" s="666"/>
    </row>
    <row r="118" spans="2:18" ht="15" customHeight="1" x14ac:dyDescent="0.2">
      <c r="B118" s="668" t="s">
        <v>294</v>
      </c>
      <c r="C118" s="669">
        <v>0.104</v>
      </c>
      <c r="D118" s="670">
        <v>25.589934461214899</v>
      </c>
      <c r="E118" s="671">
        <v>5.7396485124103904</v>
      </c>
      <c r="F118" s="663">
        <f t="shared" si="10"/>
        <v>25.693934461214898</v>
      </c>
      <c r="G118" s="672"/>
      <c r="H118" s="670"/>
      <c r="I118" s="671"/>
      <c r="J118" s="696"/>
      <c r="K118" s="672"/>
      <c r="L118" s="670"/>
      <c r="M118" s="671"/>
      <c r="N118" s="696"/>
      <c r="P118" s="665">
        <f t="shared" si="11"/>
        <v>1.4687722926299147</v>
      </c>
      <c r="Q118" s="472"/>
      <c r="R118" s="666"/>
    </row>
    <row r="119" spans="2:18" ht="15" customHeight="1" x14ac:dyDescent="0.2">
      <c r="B119" s="668" t="s">
        <v>295</v>
      </c>
      <c r="C119" s="669">
        <v>0.6</v>
      </c>
      <c r="D119" s="670">
        <v>28.3283076467333</v>
      </c>
      <c r="E119" s="671">
        <v>6.4231360704136904</v>
      </c>
      <c r="F119" s="663">
        <f t="shared" si="10"/>
        <v>28.928307646733302</v>
      </c>
      <c r="G119" s="672"/>
      <c r="H119" s="670"/>
      <c r="I119" s="671"/>
      <c r="J119" s="696"/>
      <c r="K119" s="672"/>
      <c r="L119" s="670"/>
      <c r="M119" s="671"/>
      <c r="N119" s="696"/>
      <c r="P119" s="665">
        <f t="shared" si="11"/>
        <v>1.8195657465950861</v>
      </c>
      <c r="Q119" s="472"/>
      <c r="R119" s="666"/>
    </row>
    <row r="120" spans="2:18" ht="15" customHeight="1" thickBot="1" x14ac:dyDescent="0.25">
      <c r="B120" s="677" t="s">
        <v>296</v>
      </c>
      <c r="C120" s="678">
        <v>0.02</v>
      </c>
      <c r="D120" s="679">
        <v>18.537053019445199</v>
      </c>
      <c r="E120" s="680">
        <v>5.7815966259465101</v>
      </c>
      <c r="F120" s="681">
        <f t="shared" si="10"/>
        <v>18.557053019445199</v>
      </c>
      <c r="G120" s="672"/>
      <c r="H120" s="670"/>
      <c r="I120" s="671"/>
      <c r="J120" s="696"/>
      <c r="K120" s="672"/>
      <c r="L120" s="670"/>
      <c r="M120" s="671"/>
      <c r="N120" s="696"/>
      <c r="P120" s="683">
        <f t="shared" si="11"/>
        <v>1.0717376319221592</v>
      </c>
      <c r="Q120" s="684"/>
      <c r="R120" s="685"/>
    </row>
  </sheetData>
  <mergeCells count="30">
    <mergeCell ref="B83:B85"/>
    <mergeCell ref="C83:F83"/>
    <mergeCell ref="P83:P84"/>
    <mergeCell ref="Q83:Q84"/>
    <mergeCell ref="R83:R84"/>
    <mergeCell ref="B103:B105"/>
    <mergeCell ref="C103:F103"/>
    <mergeCell ref="P103:P104"/>
    <mergeCell ref="Q103:Q104"/>
    <mergeCell ref="R103:R104"/>
    <mergeCell ref="B43:B45"/>
    <mergeCell ref="C43:F43"/>
    <mergeCell ref="P43:P44"/>
    <mergeCell ref="Q43:Q44"/>
    <mergeCell ref="R43:R44"/>
    <mergeCell ref="B63:B65"/>
    <mergeCell ref="C63:F63"/>
    <mergeCell ref="P63:P64"/>
    <mergeCell ref="Q63:Q64"/>
    <mergeCell ref="R63:R64"/>
    <mergeCell ref="B3:B5"/>
    <mergeCell ref="C3:F3"/>
    <mergeCell ref="P3:P4"/>
    <mergeCell ref="Q3:Q4"/>
    <mergeCell ref="R3:R4"/>
    <mergeCell ref="B23:B25"/>
    <mergeCell ref="C23:F23"/>
    <mergeCell ref="P23:P24"/>
    <mergeCell ref="Q23:Q24"/>
    <mergeCell ref="R23:R24"/>
  </mergeCells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7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664</v>
      </c>
      <c r="C3" t="s">
        <v>435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12 data'!$Q$13</f>
        <v>24.785</v>
      </c>
      <c r="D8" s="829">
        <f>'Section 12 data'!$R$13</f>
        <v>4829.777</v>
      </c>
      <c r="E8" s="205">
        <f>'Section 12 data'!$S$13</f>
        <v>16.672604486048293</v>
      </c>
      <c r="F8" s="822">
        <f>SUM(C8,D8)</f>
        <v>4854.5619999999999</v>
      </c>
    </row>
    <row r="9" spans="2:6" ht="15" customHeight="1" x14ac:dyDescent="0.2">
      <c r="B9" s="82" t="s">
        <v>336</v>
      </c>
      <c r="C9" s="67">
        <f>'Section 12 data'!$Q$14</f>
        <v>373.767</v>
      </c>
      <c r="D9" s="829">
        <f>'Section 12 data'!$R$14</f>
        <v>36976.103000000003</v>
      </c>
      <c r="E9" s="205">
        <f>'Section 12 data'!$S$14</f>
        <v>6.9506576567806952</v>
      </c>
      <c r="F9" s="822">
        <f t="shared" ref="F9:F15" si="0">SUM(C9,D9)</f>
        <v>37349.870000000003</v>
      </c>
    </row>
    <row r="10" spans="2:6" ht="15" customHeight="1" x14ac:dyDescent="0.2">
      <c r="B10" s="81" t="s">
        <v>337</v>
      </c>
      <c r="C10" s="67">
        <f>'Section 12 data'!$Q$15</f>
        <v>420.18799999999999</v>
      </c>
      <c r="D10" s="829">
        <f>'Section 12 data'!$R$15</f>
        <v>35587.614000000001</v>
      </c>
      <c r="E10" s="205">
        <f>'Section 12 data'!$S$15</f>
        <v>5.9666299215506609</v>
      </c>
      <c r="F10" s="822">
        <f t="shared" si="0"/>
        <v>36007.802000000003</v>
      </c>
    </row>
    <row r="11" spans="2:6" ht="15" customHeight="1" x14ac:dyDescent="0.2">
      <c r="B11" s="81" t="s">
        <v>338</v>
      </c>
      <c r="C11" s="67">
        <f>'Section 12 data'!$Q$16</f>
        <v>1024.1659999999999</v>
      </c>
      <c r="D11" s="829">
        <f>'Section 12 data'!$R$16</f>
        <v>18591.525000000001</v>
      </c>
      <c r="E11" s="205">
        <f>'Section 12 data'!$S$16</f>
        <v>7.4151118219271925</v>
      </c>
      <c r="F11" s="822">
        <f t="shared" si="0"/>
        <v>19615.691000000003</v>
      </c>
    </row>
    <row r="12" spans="2:6" ht="15" customHeight="1" x14ac:dyDescent="0.2">
      <c r="B12" s="81" t="s">
        <v>339</v>
      </c>
      <c r="C12" s="67">
        <f>'Section 12 data'!$Q$17</f>
        <v>824.77599999999995</v>
      </c>
      <c r="D12" s="829">
        <f>'Section 12 data'!$R$17</f>
        <v>9716.1080000000002</v>
      </c>
      <c r="E12" s="205">
        <f>'Section 12 data'!$S$17</f>
        <v>7.7929484109031844</v>
      </c>
      <c r="F12" s="822">
        <f t="shared" si="0"/>
        <v>10540.884</v>
      </c>
    </row>
    <row r="13" spans="2:6" ht="15" customHeight="1" x14ac:dyDescent="0.2">
      <c r="B13" s="81" t="s">
        <v>340</v>
      </c>
      <c r="C13" s="67">
        <f>'Section 12 data'!$Q$18</f>
        <v>296.41800000000001</v>
      </c>
      <c r="D13" s="829">
        <f>'Section 12 data'!$R$18</f>
        <v>5412.5240000000003</v>
      </c>
      <c r="E13" s="205">
        <f>'Section 12 data'!$S$18</f>
        <v>9.6313117863100963</v>
      </c>
      <c r="F13" s="822">
        <f t="shared" si="0"/>
        <v>5708.942</v>
      </c>
    </row>
    <row r="14" spans="2:6" ht="15" customHeight="1" x14ac:dyDescent="0.2">
      <c r="B14" s="81" t="s">
        <v>268</v>
      </c>
      <c r="C14" s="67">
        <f>'Section 12 data'!$Q$19</f>
        <v>96.454999999999984</v>
      </c>
      <c r="D14" s="829">
        <f>'Section 12 data'!$R$19</f>
        <v>1382.9190000000001</v>
      </c>
      <c r="E14" s="205">
        <f>'Section 12 data'!$S$19</f>
        <v>17.564144535826433</v>
      </c>
      <c r="F14" s="822">
        <f t="shared" si="0"/>
        <v>1479.374</v>
      </c>
    </row>
    <row r="15" spans="2:6" ht="15" customHeight="1" x14ac:dyDescent="0.2">
      <c r="B15" s="83" t="s">
        <v>80</v>
      </c>
      <c r="C15" s="830">
        <f>'Eng Table 24'!C21</f>
        <v>3084.7159999999999</v>
      </c>
      <c r="D15" s="830">
        <f>'Eng Table 24'!D21</f>
        <v>112496.57399999999</v>
      </c>
      <c r="E15" s="321">
        <f>'Eng Table 24'!E21</f>
        <v>3.5417574645529024</v>
      </c>
      <c r="F15" s="831">
        <f t="shared" si="0"/>
        <v>115581.29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31501D9-6C64-455F-94A0-7D934F1DBC73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D0278561-1EC3-4DA4-AA0E-20983C42E8FC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7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665</v>
      </c>
      <c r="C3" t="s">
        <v>434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70"/>
      <c r="F7" s="71"/>
    </row>
    <row r="8" spans="2:6" ht="15" customHeight="1" x14ac:dyDescent="0.2">
      <c r="B8" s="78" t="s">
        <v>341</v>
      </c>
      <c r="C8" s="823">
        <f>'Section 12 data'!$Q$24</f>
        <v>76.227000000000004</v>
      </c>
      <c r="D8" s="824">
        <f>'Section 12 data'!$R$24</f>
        <v>3012.5709999999999</v>
      </c>
      <c r="E8" s="205">
        <f>'Section 12 data'!$S$24</f>
        <v>29.543980500442451</v>
      </c>
      <c r="F8" s="825">
        <f>SUM(C8,D8)</f>
        <v>3088.7979999999998</v>
      </c>
    </row>
    <row r="9" spans="2:6" ht="15" customHeight="1" x14ac:dyDescent="0.2">
      <c r="B9" s="79" t="s">
        <v>342</v>
      </c>
      <c r="C9" s="823">
        <f>'Section 12 data'!$Q$25</f>
        <v>552.34</v>
      </c>
      <c r="D9" s="824">
        <f>'Section 12 data'!$R$25</f>
        <v>37487.415000000001</v>
      </c>
      <c r="E9" s="205">
        <f>'Section 12 data'!$S$25</f>
        <v>6.6162247318781882</v>
      </c>
      <c r="F9" s="825">
        <f t="shared" ref="F9:F17" si="0">SUM(C9,D9)</f>
        <v>38039.754999999997</v>
      </c>
    </row>
    <row r="10" spans="2:6" ht="15" customHeight="1" x14ac:dyDescent="0.2">
      <c r="B10" s="80" t="s">
        <v>343</v>
      </c>
      <c r="C10" s="823">
        <f>'Section 12 data'!$Q$26</f>
        <v>1170.74</v>
      </c>
      <c r="D10" s="824">
        <f>'Section 12 data'!$R$26</f>
        <v>20566.652999999998</v>
      </c>
      <c r="E10" s="205">
        <f>'Section 12 data'!$S$26</f>
        <v>9.6297740099818476</v>
      </c>
      <c r="F10" s="825">
        <f t="shared" si="0"/>
        <v>21737.393</v>
      </c>
    </row>
    <row r="11" spans="2:6" ht="15" customHeight="1" x14ac:dyDescent="0.2">
      <c r="B11" s="78" t="s">
        <v>344</v>
      </c>
      <c r="C11" s="823">
        <f>'Section 12 data'!$Q$27</f>
        <v>795.40800000000002</v>
      </c>
      <c r="D11" s="824">
        <f>'Section 12 data'!$R$27</f>
        <v>12607.895</v>
      </c>
      <c r="E11" s="205">
        <f>'Section 12 data'!$S$27</f>
        <v>9.787593947067073</v>
      </c>
      <c r="F11" s="825">
        <f t="shared" si="0"/>
        <v>13403.303</v>
      </c>
    </row>
    <row r="12" spans="2:6" ht="15" customHeight="1" x14ac:dyDescent="0.2">
      <c r="B12" s="78" t="s">
        <v>345</v>
      </c>
      <c r="C12" s="823">
        <f>'Section 12 data'!$Q$28</f>
        <v>354.31400000000002</v>
      </c>
      <c r="D12" s="824">
        <f>'Section 12 data'!$R$28</f>
        <v>15479.26</v>
      </c>
      <c r="E12" s="205">
        <f>'Section 12 data'!$S$28</f>
        <v>7.3009874258096117</v>
      </c>
      <c r="F12" s="825">
        <f t="shared" si="0"/>
        <v>15833.574000000001</v>
      </c>
    </row>
    <row r="13" spans="2:6" ht="15" customHeight="1" x14ac:dyDescent="0.2">
      <c r="B13" s="78" t="s">
        <v>346</v>
      </c>
      <c r="C13" s="823">
        <f>'Section 12 data'!$Q$29</f>
        <v>95.376999999999995</v>
      </c>
      <c r="D13" s="824">
        <f>'Section 12 data'!$R$29</f>
        <v>6169.29</v>
      </c>
      <c r="E13" s="205">
        <f>'Section 12 data'!$S$29</f>
        <v>11.298578717284057</v>
      </c>
      <c r="F13" s="825">
        <f t="shared" si="0"/>
        <v>6264.6670000000004</v>
      </c>
    </row>
    <row r="14" spans="2:6" ht="15" customHeight="1" x14ac:dyDescent="0.2">
      <c r="B14" s="78" t="s">
        <v>347</v>
      </c>
      <c r="C14" s="823">
        <f>'Section 12 data'!$Q$30</f>
        <v>34.872999999999998</v>
      </c>
      <c r="D14" s="824">
        <f>'Section 12 data'!$R$30</f>
        <v>3001.7579999999998</v>
      </c>
      <c r="E14" s="205">
        <f>'Section 12 data'!$S$30</f>
        <v>10.775244342777738</v>
      </c>
      <c r="F14" s="825">
        <f t="shared" si="0"/>
        <v>3036.6309999999999</v>
      </c>
    </row>
    <row r="15" spans="2:6" ht="15" customHeight="1" x14ac:dyDescent="0.2">
      <c r="B15" s="78" t="s">
        <v>348</v>
      </c>
      <c r="C15" s="823">
        <f>'Section 12 data'!$Q$31</f>
        <v>4.08</v>
      </c>
      <c r="D15" s="824">
        <f>'Section 12 data'!$R$31</f>
        <v>626.46500000000003</v>
      </c>
      <c r="E15" s="205">
        <f>'Section 12 data'!$S$31</f>
        <v>24.085935402703942</v>
      </c>
      <c r="F15" s="825">
        <f t="shared" si="0"/>
        <v>630.54500000000007</v>
      </c>
    </row>
    <row r="16" spans="2:6" ht="15" customHeight="1" x14ac:dyDescent="0.2">
      <c r="B16" s="78" t="s">
        <v>270</v>
      </c>
      <c r="C16" s="823">
        <f>'Section 12 data'!$Q$32</f>
        <v>1.3580000000000001</v>
      </c>
      <c r="D16" s="824">
        <f>'Section 12 data'!$R$32</f>
        <v>121.05200000000001</v>
      </c>
      <c r="E16" s="205">
        <f>'Section 12 data'!$S$32</f>
        <v>35.544603697372871</v>
      </c>
      <c r="F16" s="825">
        <f t="shared" si="0"/>
        <v>122.41000000000001</v>
      </c>
    </row>
    <row r="17" spans="2:6" ht="15" customHeight="1" x14ac:dyDescent="0.2">
      <c r="B17" s="72" t="s">
        <v>80</v>
      </c>
      <c r="C17" s="87">
        <f>'Eng Table 24'!C21</f>
        <v>3084.7159999999999</v>
      </c>
      <c r="D17" s="87">
        <f>'Eng Table 24'!D21</f>
        <v>112496.57399999999</v>
      </c>
      <c r="E17" s="321">
        <f>'Eng Table 24'!E21</f>
        <v>3.5417574645529024</v>
      </c>
      <c r="F17" s="87">
        <f t="shared" si="0"/>
        <v>115581.29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A8D746-F456-4812-83A2-2A9B6E2E3AAE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97755A58-49D9-4647-AE89-E909032E0AEC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666</v>
      </c>
      <c r="C3" t="s">
        <v>898</v>
      </c>
    </row>
    <row r="5" spans="2:12" ht="15" customHeight="1" x14ac:dyDescent="0.2">
      <c r="B5" s="1070" t="s">
        <v>738</v>
      </c>
      <c r="C5" s="1141" t="s">
        <v>273</v>
      </c>
      <c r="D5" s="1141"/>
      <c r="E5" s="1141"/>
      <c r="F5" s="1133"/>
      <c r="H5" s="1070" t="s">
        <v>738</v>
      </c>
      <c r="I5" s="1021" t="s">
        <v>274</v>
      </c>
      <c r="J5" s="1089"/>
      <c r="K5" s="1089"/>
      <c r="L5" s="1018"/>
    </row>
    <row r="6" spans="2:12" ht="45" customHeight="1" x14ac:dyDescent="0.2">
      <c r="B6" s="1153"/>
      <c r="C6" s="644" t="s">
        <v>78</v>
      </c>
      <c r="D6" s="1154" t="s">
        <v>79</v>
      </c>
      <c r="E6" s="1154"/>
      <c r="F6" s="643" t="s">
        <v>275</v>
      </c>
      <c r="H6" s="1153"/>
      <c r="I6" s="642" t="s">
        <v>276</v>
      </c>
      <c r="J6" s="641" t="s">
        <v>277</v>
      </c>
      <c r="K6" s="641" t="s">
        <v>278</v>
      </c>
      <c r="L6" s="640" t="s">
        <v>279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598" t="s">
        <v>81</v>
      </c>
      <c r="J7" s="597" t="s">
        <v>81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39">
        <f>'Section 12 data country'!$C$62</f>
        <v>2.9447799999999997</v>
      </c>
      <c r="D8" s="639">
        <f>'Section 12 data country'!$D$62</f>
        <v>117.61790000000001</v>
      </c>
      <c r="E8" s="638">
        <f>'Section 12 data country'!$E$62</f>
        <v>2.7270042930829193</v>
      </c>
      <c r="F8" s="637">
        <f t="shared" ref="F8:F22" si="0">SUM(C8,D8)</f>
        <v>120.56268</v>
      </c>
      <c r="G8" s="25"/>
      <c r="H8" s="636" t="s">
        <v>721</v>
      </c>
      <c r="I8" s="53">
        <f>'Section 12 data country'!$G$43</f>
        <v>892.49155999999994</v>
      </c>
      <c r="J8" s="54">
        <f>'Section 12 data country'!$G$5</f>
        <v>1197.5455499999998</v>
      </c>
      <c r="K8" s="55">
        <f t="shared" ref="K8:K22" si="1">IF(I8=0,0,100*F8/I8)</f>
        <v>13.508551274143143</v>
      </c>
      <c r="L8" s="56">
        <f t="shared" ref="L8:L22" si="2">IF(J8=0,0,100*F8/J8)</f>
        <v>10.06748177553664</v>
      </c>
    </row>
    <row r="9" spans="2:12" ht="15" customHeight="1" x14ac:dyDescent="0.2">
      <c r="B9" s="632" t="s">
        <v>286</v>
      </c>
      <c r="C9" s="635">
        <f>'Section 12 data country'!$C$63</f>
        <v>0.16979</v>
      </c>
      <c r="D9" s="635">
        <f>'Section 12 data country'!$D$63</f>
        <v>3.5024799999999998</v>
      </c>
      <c r="E9" s="634">
        <f>'Section 12 data country'!$E$63</f>
        <v>12.65</v>
      </c>
      <c r="F9" s="633">
        <f t="shared" si="0"/>
        <v>3.6722699999999997</v>
      </c>
      <c r="G9" s="25"/>
      <c r="H9" s="632" t="s">
        <v>286</v>
      </c>
      <c r="I9" s="631">
        <f>'Section 12 data country'!$G$44</f>
        <v>44.848480000000002</v>
      </c>
      <c r="J9" s="630">
        <f>'Section 12 data country'!$G$6</f>
        <v>76.154820000000001</v>
      </c>
      <c r="K9" s="629">
        <f t="shared" si="1"/>
        <v>8.1881704798022135</v>
      </c>
      <c r="L9" s="628">
        <f t="shared" si="2"/>
        <v>4.8221110627009551</v>
      </c>
    </row>
    <row r="10" spans="2:12" ht="15" customHeight="1" x14ac:dyDescent="0.2">
      <c r="B10" s="632" t="s">
        <v>298</v>
      </c>
      <c r="C10" s="635">
        <f>'Section 12 data country'!$C$64</f>
        <v>4.197E-2</v>
      </c>
      <c r="D10" s="635">
        <f>'Section 12 data country'!$D$64</f>
        <v>10.9529</v>
      </c>
      <c r="E10" s="634">
        <f>'Section 12 data country'!$E$64</f>
        <v>8.6199999999999992</v>
      </c>
      <c r="F10" s="633">
        <f t="shared" si="0"/>
        <v>10.994869999999999</v>
      </c>
      <c r="G10" s="25"/>
      <c r="H10" s="632" t="s">
        <v>298</v>
      </c>
      <c r="I10" s="631">
        <f>'Section 12 data country'!$G$45</f>
        <v>81.728650000000002</v>
      </c>
      <c r="J10" s="630">
        <f>'Section 12 data country'!$G$7</f>
        <v>106.67646000000002</v>
      </c>
      <c r="K10" s="629">
        <f t="shared" si="1"/>
        <v>13.452895649200125</v>
      </c>
      <c r="L10" s="628">
        <f t="shared" si="2"/>
        <v>10.306744337035553</v>
      </c>
    </row>
    <row r="11" spans="2:12" ht="15" customHeight="1" x14ac:dyDescent="0.2">
      <c r="B11" s="632" t="s">
        <v>287</v>
      </c>
      <c r="C11" s="635">
        <f>'Section 12 data country'!$C$65</f>
        <v>0.20733000000000001</v>
      </c>
      <c r="D11" s="635">
        <f>'Section 12 data country'!$D$65</f>
        <v>11.5421</v>
      </c>
      <c r="E11" s="634">
        <f>'Section 12 data country'!$E$65</f>
        <v>9.5</v>
      </c>
      <c r="F11" s="633">
        <f t="shared" si="0"/>
        <v>11.74943</v>
      </c>
      <c r="G11" s="25"/>
      <c r="H11" s="632" t="s">
        <v>287</v>
      </c>
      <c r="I11" s="631">
        <f>'Section 12 data country'!$G$46</f>
        <v>90.858959999999996</v>
      </c>
      <c r="J11" s="630">
        <f>'Section 12 data country'!$G$8</f>
        <v>124.23294000000001</v>
      </c>
      <c r="K11" s="629">
        <f t="shared" si="1"/>
        <v>12.931503948537381</v>
      </c>
      <c r="L11" s="628">
        <f t="shared" si="2"/>
        <v>9.4575802520651919</v>
      </c>
    </row>
    <row r="12" spans="2:12" ht="15" customHeight="1" x14ac:dyDescent="0.2">
      <c r="B12" s="632" t="s">
        <v>288</v>
      </c>
      <c r="C12" s="635">
        <f>'Section 12 data country'!$C$66</f>
        <v>0.12731999999999999</v>
      </c>
      <c r="D12" s="635">
        <f>'Section 12 data country'!$D$66</f>
        <v>4.93668</v>
      </c>
      <c r="E12" s="634">
        <f>'Section 12 data country'!$E$66</f>
        <v>14.16</v>
      </c>
      <c r="F12" s="633">
        <f t="shared" si="0"/>
        <v>5.0640000000000001</v>
      </c>
      <c r="G12" s="25"/>
      <c r="H12" s="632" t="s">
        <v>288</v>
      </c>
      <c r="I12" s="631">
        <f>'Section 12 data country'!$G$47</f>
        <v>39.05968</v>
      </c>
      <c r="J12" s="630">
        <f>'Section 12 data country'!$G$9</f>
        <v>51.166460000000001</v>
      </c>
      <c r="K12" s="629">
        <f t="shared" si="1"/>
        <v>12.964775953105606</v>
      </c>
      <c r="L12" s="628">
        <f t="shared" si="2"/>
        <v>9.8971083791999668</v>
      </c>
    </row>
    <row r="13" spans="2:12" ht="15" customHeight="1" x14ac:dyDescent="0.2">
      <c r="B13" s="632" t="s">
        <v>301</v>
      </c>
      <c r="C13" s="635">
        <f>'Section 12 data country'!$C$67</f>
        <v>2.2780000000000002E-2</v>
      </c>
      <c r="D13" s="635">
        <f>'Section 12 data country'!$D$67</f>
        <v>2.3874</v>
      </c>
      <c r="E13" s="634">
        <f>'Section 12 data country'!$E$67</f>
        <v>27.47</v>
      </c>
      <c r="F13" s="633">
        <f t="shared" si="0"/>
        <v>2.41018</v>
      </c>
      <c r="G13" s="25"/>
      <c r="H13" s="632" t="s">
        <v>301</v>
      </c>
      <c r="I13" s="631">
        <f>'Section 12 data country'!$G$48</f>
        <v>24.24953</v>
      </c>
      <c r="J13" s="630">
        <f>'Section 12 data country'!$G$10</f>
        <v>26.89772</v>
      </c>
      <c r="K13" s="629">
        <f t="shared" si="1"/>
        <v>9.9390792316387166</v>
      </c>
      <c r="L13" s="628">
        <f t="shared" si="2"/>
        <v>8.960536432084206</v>
      </c>
    </row>
    <row r="14" spans="2:12" ht="15" customHeight="1" x14ac:dyDescent="0.2">
      <c r="B14" s="632" t="s">
        <v>302</v>
      </c>
      <c r="C14" s="635">
        <f>'Section 12 data country'!$C$68</f>
        <v>1.2619999999999999E-2</v>
      </c>
      <c r="D14" s="635">
        <f>'Section 12 data country'!$D$68</f>
        <v>2.24396</v>
      </c>
      <c r="E14" s="634">
        <f>'Section 12 data country'!$E$68</f>
        <v>19.920000000000002</v>
      </c>
      <c r="F14" s="633">
        <f t="shared" si="0"/>
        <v>2.25658</v>
      </c>
      <c r="G14" s="25"/>
      <c r="H14" s="632" t="s">
        <v>302</v>
      </c>
      <c r="I14" s="631">
        <f>'Section 12 data country'!$G$49</f>
        <v>30.066469999999999</v>
      </c>
      <c r="J14" s="630">
        <f>'Section 12 data country'!$G$11</f>
        <v>33.185850000000002</v>
      </c>
      <c r="K14" s="629">
        <f t="shared" si="1"/>
        <v>7.5053040812572949</v>
      </c>
      <c r="L14" s="628">
        <f t="shared" si="2"/>
        <v>6.799825829382101</v>
      </c>
    </row>
    <row r="15" spans="2:12" ht="15" customHeight="1" x14ac:dyDescent="0.2">
      <c r="B15" s="632" t="s">
        <v>303</v>
      </c>
      <c r="C15" s="635">
        <f>'Section 12 data country'!$C$69</f>
        <v>0.10202</v>
      </c>
      <c r="D15" s="635">
        <f>'Section 12 data country'!$D$69</f>
        <v>7.5619700000000005</v>
      </c>
      <c r="E15" s="634">
        <f>'Section 12 data country'!$E$69</f>
        <v>12.67</v>
      </c>
      <c r="F15" s="633">
        <f t="shared" si="0"/>
        <v>7.6639900000000001</v>
      </c>
      <c r="G15" s="25"/>
      <c r="H15" s="632" t="s">
        <v>303</v>
      </c>
      <c r="I15" s="631">
        <f>'Section 12 data country'!$G$50</f>
        <v>86.336109999999991</v>
      </c>
      <c r="J15" s="630">
        <f>'Section 12 data country'!$G$12</f>
        <v>96.604010000000002</v>
      </c>
      <c r="K15" s="629">
        <f t="shared" si="1"/>
        <v>8.8769229931716875</v>
      </c>
      <c r="L15" s="628">
        <f t="shared" si="2"/>
        <v>7.9334077332814648</v>
      </c>
    </row>
    <row r="16" spans="2:12" ht="15" customHeight="1" x14ac:dyDescent="0.2">
      <c r="B16" s="632" t="s">
        <v>304</v>
      </c>
      <c r="C16" s="635">
        <f>'Section 12 data country'!$C$70</f>
        <v>0.86394000000000004</v>
      </c>
      <c r="D16" s="635">
        <f>'Section 12 data country'!$D$70</f>
        <v>6.3044599999999997</v>
      </c>
      <c r="E16" s="634">
        <f>'Section 12 data country'!$E$70</f>
        <v>11.14</v>
      </c>
      <c r="F16" s="633">
        <f t="shared" si="0"/>
        <v>7.1684000000000001</v>
      </c>
      <c r="G16" s="25"/>
      <c r="H16" s="632" t="s">
        <v>304</v>
      </c>
      <c r="I16" s="631">
        <f>'Section 12 data country'!$G$51</f>
        <v>38.75761</v>
      </c>
      <c r="J16" s="630">
        <f>'Section 12 data country'!$G$13</f>
        <v>46.924610000000001</v>
      </c>
      <c r="K16" s="629">
        <f t="shared" si="1"/>
        <v>18.495464503616194</v>
      </c>
      <c r="L16" s="628">
        <f t="shared" si="2"/>
        <v>15.276418919624479</v>
      </c>
    </row>
    <row r="17" spans="2:12" ht="15" customHeight="1" x14ac:dyDescent="0.2">
      <c r="B17" s="632" t="s">
        <v>291</v>
      </c>
      <c r="C17" s="635">
        <f>'Section 12 data country'!$C$71</f>
        <v>1.687E-2</v>
      </c>
      <c r="D17" s="635">
        <f>'Section 12 data country'!$D$71</f>
        <v>5.6088900000000006</v>
      </c>
      <c r="E17" s="634">
        <f>'Section 12 data country'!$E$71</f>
        <v>16.47</v>
      </c>
      <c r="F17" s="633">
        <f t="shared" si="0"/>
        <v>5.6257600000000005</v>
      </c>
      <c r="G17" s="25"/>
      <c r="H17" s="632" t="s">
        <v>291</v>
      </c>
      <c r="I17" s="631">
        <f>'Section 12 data country'!$G$52</f>
        <v>38.881959999999999</v>
      </c>
      <c r="J17" s="630">
        <f>'Section 12 data country'!$G$14</f>
        <v>100.34380999999999</v>
      </c>
      <c r="K17" s="629">
        <f t="shared" si="1"/>
        <v>14.468817929960322</v>
      </c>
      <c r="L17" s="628">
        <f t="shared" si="2"/>
        <v>5.6064843461694354</v>
      </c>
    </row>
    <row r="18" spans="2:12" ht="15" customHeight="1" x14ac:dyDescent="0.2">
      <c r="B18" s="632" t="s">
        <v>292</v>
      </c>
      <c r="C18" s="635">
        <f>'Section 12 data country'!$C$72</f>
        <v>0.33735999999999999</v>
      </c>
      <c r="D18" s="635">
        <f>'Section 12 data country'!$D$72</f>
        <v>11.74414</v>
      </c>
      <c r="E18" s="634">
        <f>'Section 12 data country'!$E$72</f>
        <v>6.98</v>
      </c>
      <c r="F18" s="633">
        <f t="shared" si="0"/>
        <v>12.0815</v>
      </c>
      <c r="G18" s="25"/>
      <c r="H18" s="632" t="s">
        <v>292</v>
      </c>
      <c r="I18" s="631">
        <f>'Section 12 data country'!$G$53</f>
        <v>93.393150000000006</v>
      </c>
      <c r="J18" s="630">
        <f>'Section 12 data country'!$G$15</f>
        <v>114.28462999999999</v>
      </c>
      <c r="K18" s="629">
        <f t="shared" si="1"/>
        <v>12.936173584465243</v>
      </c>
      <c r="L18" s="628">
        <f t="shared" si="2"/>
        <v>10.571412796278906</v>
      </c>
    </row>
    <row r="19" spans="2:12" ht="15" customHeight="1" x14ac:dyDescent="0.2">
      <c r="B19" s="632" t="s">
        <v>293</v>
      </c>
      <c r="C19" s="635">
        <f>'Section 12 data country'!$C$73</f>
        <v>9.7869999999999999E-2</v>
      </c>
      <c r="D19" s="635">
        <f>'Section 12 data country'!$D$73</f>
        <v>10.66949</v>
      </c>
      <c r="E19" s="634">
        <f>'Section 12 data country'!$E$73</f>
        <v>7.76</v>
      </c>
      <c r="F19" s="633">
        <f t="shared" si="0"/>
        <v>10.76736</v>
      </c>
      <c r="G19" s="25"/>
      <c r="H19" s="632" t="s">
        <v>293</v>
      </c>
      <c r="I19" s="631">
        <f>'Section 12 data country'!$G$54</f>
        <v>73.585939999999994</v>
      </c>
      <c r="J19" s="630">
        <f>'Section 12 data country'!$G$16</f>
        <v>88.609620000000007</v>
      </c>
      <c r="K19" s="629">
        <f t="shared" si="1"/>
        <v>14.632360475384294</v>
      </c>
      <c r="L19" s="628">
        <f t="shared" si="2"/>
        <v>12.151457144269438</v>
      </c>
    </row>
    <row r="20" spans="2:12" ht="15" customHeight="1" x14ac:dyDescent="0.2">
      <c r="B20" s="632" t="s">
        <v>294</v>
      </c>
      <c r="C20" s="635">
        <f>'Section 12 data country'!$C$74</f>
        <v>0.2999</v>
      </c>
      <c r="D20" s="635">
        <f>'Section 12 data country'!$D$74</f>
        <v>16.321819999999999</v>
      </c>
      <c r="E20" s="634">
        <f>'Section 12 data country'!$E$74</f>
        <v>7.5</v>
      </c>
      <c r="F20" s="633">
        <f t="shared" si="0"/>
        <v>16.62172</v>
      </c>
      <c r="G20" s="25"/>
      <c r="H20" s="632" t="s">
        <v>294</v>
      </c>
      <c r="I20" s="631">
        <f>'Section 12 data country'!$G$55</f>
        <v>80.404610000000005</v>
      </c>
      <c r="J20" s="630">
        <f>'Section 12 data country'!$G$17</f>
        <v>100.84719</v>
      </c>
      <c r="K20" s="629">
        <f t="shared" si="1"/>
        <v>20.67259576285489</v>
      </c>
      <c r="L20" s="628">
        <f t="shared" si="2"/>
        <v>16.482085420525848</v>
      </c>
    </row>
    <row r="21" spans="2:12" ht="15" customHeight="1" x14ac:dyDescent="0.2">
      <c r="B21" s="632" t="s">
        <v>295</v>
      </c>
      <c r="C21" s="635">
        <f>'Section 12 data country'!$C$75</f>
        <v>0.44668000000000002</v>
      </c>
      <c r="D21" s="635">
        <f>'Section 12 data country'!$D$75</f>
        <v>15.872129999999999</v>
      </c>
      <c r="E21" s="634">
        <f>'Section 12 data country'!$E$75</f>
        <v>7.25</v>
      </c>
      <c r="F21" s="633">
        <f t="shared" si="0"/>
        <v>16.318809999999999</v>
      </c>
      <c r="G21" s="25"/>
      <c r="H21" s="632" t="s">
        <v>295</v>
      </c>
      <c r="I21" s="631">
        <f>'Section 12 data country'!$G$56</f>
        <v>100.96449</v>
      </c>
      <c r="J21" s="630">
        <f>'Section 12 data country'!$G$18</f>
        <v>130.76726000000002</v>
      </c>
      <c r="K21" s="629">
        <f t="shared" si="1"/>
        <v>16.16292025047618</v>
      </c>
      <c r="L21" s="628">
        <f t="shared" si="2"/>
        <v>12.479278070061264</v>
      </c>
    </row>
    <row r="22" spans="2:12" ht="15" customHeight="1" x14ac:dyDescent="0.2">
      <c r="B22" s="624" t="s">
        <v>296</v>
      </c>
      <c r="C22" s="627">
        <f>'Section 12 data country'!$C$76</f>
        <v>0.19833000000000001</v>
      </c>
      <c r="D22" s="627">
        <f>'Section 12 data country'!$D$76</f>
        <v>7.9694799999999999</v>
      </c>
      <c r="E22" s="626">
        <f>'Section 12 data country'!$E$76</f>
        <v>8.27</v>
      </c>
      <c r="F22" s="625">
        <f t="shared" si="0"/>
        <v>8.1678099999999993</v>
      </c>
      <c r="G22" s="25"/>
      <c r="H22" s="624" t="s">
        <v>296</v>
      </c>
      <c r="I22" s="623">
        <f>'Section 12 data country'!$G$57</f>
        <v>69.355919999999998</v>
      </c>
      <c r="J22" s="622">
        <f>'Section 12 data country'!$G$19</f>
        <v>100.85017000000001</v>
      </c>
      <c r="K22" s="621">
        <f t="shared" si="1"/>
        <v>11.776658719255689</v>
      </c>
      <c r="L22" s="620">
        <f t="shared" si="2"/>
        <v>8.0989551133131439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C23214-93AB-4E29-87DB-0E1BC2043E2E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605E012D-8AB6-4B4C-9156-613715CF49F5}">
            <xm:f>Sheet1!$D$5</xm:f>
            <xm:f>Sheet1!$E$5</xm:f>
            <x14:dxf>
              <numFmt numFmtId="174" formatCode="&quot;&lt; 0.1&quot;"/>
            </x14:dxf>
          </x14:cfRule>
          <xm:sqref>C8:D22 F8:F22 I8:J22</xm:sqref>
        </x14:conditionalFormatting>
      </x14:conditionalFormatting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L22"/>
  <sheetViews>
    <sheetView topLeftCell="A2" workbookViewId="0">
      <selection activeCell="A2" sqref="A2"/>
    </sheetView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667</v>
      </c>
      <c r="C3" t="s">
        <v>900</v>
      </c>
    </row>
    <row r="5" spans="2:12" ht="15" customHeight="1" x14ac:dyDescent="0.2">
      <c r="B5" s="1070" t="s">
        <v>738</v>
      </c>
      <c r="C5" s="1141" t="s">
        <v>281</v>
      </c>
      <c r="D5" s="1141"/>
      <c r="E5" s="1141"/>
      <c r="F5" s="1133"/>
      <c r="G5" s="25"/>
      <c r="H5" s="1070" t="s">
        <v>738</v>
      </c>
      <c r="I5" s="1021" t="s">
        <v>282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278</v>
      </c>
      <c r="L6" s="640" t="s">
        <v>279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598" t="s">
        <v>326</v>
      </c>
      <c r="J7" s="597" t="s">
        <v>326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12 data country'!$J$62</f>
        <v>417.30799999999999</v>
      </c>
      <c r="D8" s="652">
        <f>'Section 12 data country'!$K$62</f>
        <v>29304.577000000001</v>
      </c>
      <c r="E8" s="638">
        <f>'Section 12 data country'!$L$62</f>
        <v>4.1090444887909863</v>
      </c>
      <c r="F8" s="651">
        <f t="shared" ref="F8:F22" si="0">SUM(C8,D8)</f>
        <v>29721.885000000002</v>
      </c>
      <c r="G8" s="25"/>
      <c r="H8" s="636" t="s">
        <v>721</v>
      </c>
      <c r="I8" s="65">
        <f>'Section 12 data country'!$N$43</f>
        <v>177942.09700000001</v>
      </c>
      <c r="J8" s="66">
        <f>'Section 12 data country'!$N$5</f>
        <v>267859.15499999997</v>
      </c>
      <c r="K8" s="55">
        <f t="shared" ref="K8:K22" si="1">IF(I8=0,0,100*F8/I8)</f>
        <v>16.703121690197907</v>
      </c>
      <c r="L8" s="56">
        <f t="shared" ref="L8:L22" si="2">IF(J8=0,0,100*F8/J8)</f>
        <v>11.096087046194111</v>
      </c>
    </row>
    <row r="9" spans="2:12" ht="15" customHeight="1" x14ac:dyDescent="0.2">
      <c r="B9" s="201" t="s">
        <v>286</v>
      </c>
      <c r="C9" s="650">
        <f>'Section 12 data country'!$J$63</f>
        <v>27.795000000000002</v>
      </c>
      <c r="D9" s="650">
        <f>'Section 12 data country'!$K$63</f>
        <v>703.99400000000003</v>
      </c>
      <c r="E9" s="634">
        <f>'Section 12 data country'!$L$63</f>
        <v>17.399999999999999</v>
      </c>
      <c r="F9" s="649">
        <f t="shared" si="0"/>
        <v>731.78899999999999</v>
      </c>
      <c r="G9" s="25"/>
      <c r="H9" s="201" t="s">
        <v>286</v>
      </c>
      <c r="I9" s="648">
        <f>'Section 12 data country'!$N$44</f>
        <v>7725.7210000000005</v>
      </c>
      <c r="J9" s="629">
        <f>'Section 12 data country'!$N$6</f>
        <v>16572.267</v>
      </c>
      <c r="K9" s="629">
        <f t="shared" si="1"/>
        <v>9.4721126999020537</v>
      </c>
      <c r="L9" s="628">
        <f t="shared" si="2"/>
        <v>4.41574468960704</v>
      </c>
    </row>
    <row r="10" spans="2:12" ht="15" customHeight="1" x14ac:dyDescent="0.2">
      <c r="B10" s="201" t="s">
        <v>298</v>
      </c>
      <c r="C10" s="650">
        <f>'Section 12 data country'!$J$64</f>
        <v>2.0939999999999999</v>
      </c>
      <c r="D10" s="650">
        <f>'Section 12 data country'!$K$64</f>
        <v>2533.0329999999999</v>
      </c>
      <c r="E10" s="634">
        <f>'Section 12 data country'!$L$64</f>
        <v>11.16</v>
      </c>
      <c r="F10" s="649">
        <f t="shared" si="0"/>
        <v>2535.127</v>
      </c>
      <c r="G10" s="25"/>
      <c r="H10" s="201" t="s">
        <v>298</v>
      </c>
      <c r="I10" s="648">
        <f>'Section 12 data country'!$N$45</f>
        <v>17451.120000000003</v>
      </c>
      <c r="J10" s="629">
        <f>'Section 12 data country'!$N$7</f>
        <v>25733.827999999998</v>
      </c>
      <c r="K10" s="629">
        <f t="shared" si="1"/>
        <v>14.527016031062759</v>
      </c>
      <c r="L10" s="628">
        <f t="shared" si="2"/>
        <v>9.8513404224198595</v>
      </c>
    </row>
    <row r="11" spans="2:12" ht="15" customHeight="1" x14ac:dyDescent="0.2">
      <c r="B11" s="201" t="s">
        <v>287</v>
      </c>
      <c r="C11" s="650">
        <f>'Section 12 data country'!$J$65</f>
        <v>36.011000000000003</v>
      </c>
      <c r="D11" s="650">
        <f>'Section 12 data country'!$K$65</f>
        <v>2325.6579999999999</v>
      </c>
      <c r="E11" s="634">
        <f>'Section 12 data country'!$L$65</f>
        <v>13.59</v>
      </c>
      <c r="F11" s="649">
        <f t="shared" si="0"/>
        <v>2361.6689999999999</v>
      </c>
      <c r="G11" s="25"/>
      <c r="H11" s="201" t="s">
        <v>287</v>
      </c>
      <c r="I11" s="648">
        <f>'Section 12 data country'!$N$46</f>
        <v>16181.21</v>
      </c>
      <c r="J11" s="629">
        <f>'Section 12 data country'!$N$8</f>
        <v>23650.592000000001</v>
      </c>
      <c r="K11" s="629">
        <f t="shared" si="1"/>
        <v>14.595132255251617</v>
      </c>
      <c r="L11" s="628">
        <f t="shared" si="2"/>
        <v>9.9856654750967753</v>
      </c>
    </row>
    <row r="12" spans="2:12" ht="15" customHeight="1" x14ac:dyDescent="0.2">
      <c r="B12" s="201" t="s">
        <v>288</v>
      </c>
      <c r="C12" s="650">
        <f>'Section 12 data country'!$J$66</f>
        <v>12.956</v>
      </c>
      <c r="D12" s="650">
        <f>'Section 12 data country'!$K$66</f>
        <v>1313.7059999999999</v>
      </c>
      <c r="E12" s="634">
        <f>'Section 12 data country'!$L$66</f>
        <v>23.07</v>
      </c>
      <c r="F12" s="649">
        <f t="shared" si="0"/>
        <v>1326.6619999999998</v>
      </c>
      <c r="G12" s="25"/>
      <c r="H12" s="201" t="s">
        <v>288</v>
      </c>
      <c r="I12" s="648">
        <f>'Section 12 data country'!$N$47</f>
        <v>6148.63</v>
      </c>
      <c r="J12" s="629">
        <f>'Section 12 data country'!$N$9</f>
        <v>9648.25</v>
      </c>
      <c r="K12" s="629">
        <f t="shared" si="1"/>
        <v>21.576546320074549</v>
      </c>
      <c r="L12" s="628">
        <f t="shared" si="2"/>
        <v>13.750286321353611</v>
      </c>
    </row>
    <row r="13" spans="2:12" ht="15" customHeight="1" x14ac:dyDescent="0.2">
      <c r="B13" s="201" t="s">
        <v>301</v>
      </c>
      <c r="C13" s="650">
        <f>'Section 12 data country'!$J$67</f>
        <v>0.93799999999999994</v>
      </c>
      <c r="D13" s="650">
        <f>'Section 12 data country'!$K$67</f>
        <v>200.95</v>
      </c>
      <c r="E13" s="634">
        <f>'Section 12 data country'!$L$67</f>
        <v>41.89</v>
      </c>
      <c r="F13" s="649">
        <f t="shared" si="0"/>
        <v>201.88799999999998</v>
      </c>
      <c r="G13" s="25"/>
      <c r="H13" s="201" t="s">
        <v>301</v>
      </c>
      <c r="I13" s="648">
        <f>'Section 12 data country'!$N$48</f>
        <v>4046.2580000000003</v>
      </c>
      <c r="J13" s="629">
        <f>'Section 12 data country'!$N$10</f>
        <v>4775.491</v>
      </c>
      <c r="K13" s="629">
        <f t="shared" si="1"/>
        <v>4.9894989395139904</v>
      </c>
      <c r="L13" s="628">
        <f t="shared" si="2"/>
        <v>4.2275862314471953</v>
      </c>
    </row>
    <row r="14" spans="2:12" ht="15" customHeight="1" x14ac:dyDescent="0.2">
      <c r="B14" s="201" t="s">
        <v>302</v>
      </c>
      <c r="C14" s="650">
        <f>'Section 12 data country'!$J$68</f>
        <v>2.1909999999999998</v>
      </c>
      <c r="D14" s="650">
        <f>'Section 12 data country'!$K$68</f>
        <v>362.23700000000002</v>
      </c>
      <c r="E14" s="634">
        <f>'Section 12 data country'!$L$68</f>
        <v>35.5</v>
      </c>
      <c r="F14" s="649">
        <f t="shared" si="0"/>
        <v>364.428</v>
      </c>
      <c r="G14" s="25"/>
      <c r="H14" s="201" t="s">
        <v>302</v>
      </c>
      <c r="I14" s="648">
        <f>'Section 12 data country'!$N$49</f>
        <v>5489.2429999999995</v>
      </c>
      <c r="J14" s="629">
        <f>'Section 12 data country'!$N$11</f>
        <v>6465.1950000000006</v>
      </c>
      <c r="K14" s="629">
        <f t="shared" si="1"/>
        <v>6.6389482119847862</v>
      </c>
      <c r="L14" s="628">
        <f t="shared" si="2"/>
        <v>5.6367673364840503</v>
      </c>
    </row>
    <row r="15" spans="2:12" ht="15" customHeight="1" x14ac:dyDescent="0.2">
      <c r="B15" s="201" t="s">
        <v>303</v>
      </c>
      <c r="C15" s="650">
        <f>'Section 12 data country'!$J$69</f>
        <v>13.183999999999999</v>
      </c>
      <c r="D15" s="650">
        <f>'Section 12 data country'!$K$69</f>
        <v>2133.3690000000001</v>
      </c>
      <c r="E15" s="634">
        <f>'Section 12 data country'!$L$69</f>
        <v>16.82</v>
      </c>
      <c r="F15" s="649">
        <f t="shared" si="0"/>
        <v>2146.5530000000003</v>
      </c>
      <c r="G15" s="25"/>
      <c r="H15" s="201" t="s">
        <v>303</v>
      </c>
      <c r="I15" s="648">
        <f>'Section 12 data country'!$N$50</f>
        <v>17221.775000000001</v>
      </c>
      <c r="J15" s="629">
        <f>'Section 12 data country'!$N$12</f>
        <v>20587.675000000003</v>
      </c>
      <c r="K15" s="629">
        <f t="shared" si="1"/>
        <v>12.46417979563663</v>
      </c>
      <c r="L15" s="628">
        <f t="shared" si="2"/>
        <v>10.42639831841138</v>
      </c>
    </row>
    <row r="16" spans="2:12" ht="15" customHeight="1" x14ac:dyDescent="0.2">
      <c r="B16" s="201" t="s">
        <v>304</v>
      </c>
      <c r="C16" s="650">
        <f>'Section 12 data country'!$J$70</f>
        <v>130.28399999999999</v>
      </c>
      <c r="D16" s="650">
        <f>'Section 12 data country'!$K$70</f>
        <v>1929.934</v>
      </c>
      <c r="E16" s="634">
        <f>'Section 12 data country'!$L$70</f>
        <v>16.489999999999998</v>
      </c>
      <c r="F16" s="649">
        <f t="shared" si="0"/>
        <v>2060.2179999999998</v>
      </c>
      <c r="G16" s="25"/>
      <c r="H16" s="201" t="s">
        <v>304</v>
      </c>
      <c r="I16" s="648">
        <f>'Section 12 data country'!$N$51</f>
        <v>7404.7919999999995</v>
      </c>
      <c r="J16" s="629">
        <f>'Section 12 data country'!$N$13</f>
        <v>9282.0709999999999</v>
      </c>
      <c r="K16" s="629">
        <f t="shared" si="1"/>
        <v>27.82276666245318</v>
      </c>
      <c r="L16" s="628">
        <f t="shared" si="2"/>
        <v>22.195671634056666</v>
      </c>
    </row>
    <row r="17" spans="2:12" ht="15" customHeight="1" x14ac:dyDescent="0.2">
      <c r="B17" s="201" t="s">
        <v>291</v>
      </c>
      <c r="C17" s="650">
        <f>'Section 12 data country'!$J$71</f>
        <v>0.313</v>
      </c>
      <c r="D17" s="650">
        <f>'Section 12 data country'!$K$71</f>
        <v>747.76900000000001</v>
      </c>
      <c r="E17" s="634">
        <f>'Section 12 data country'!$L$71</f>
        <v>17.989999999999998</v>
      </c>
      <c r="F17" s="649">
        <f t="shared" si="0"/>
        <v>748.08199999999999</v>
      </c>
      <c r="G17" s="25"/>
      <c r="H17" s="201" t="s">
        <v>291</v>
      </c>
      <c r="I17" s="648">
        <f>'Section 12 data country'!$N$52</f>
        <v>5556.7159999999994</v>
      </c>
      <c r="J17" s="629">
        <f>'Section 12 data country'!$N$14</f>
        <v>20394.612999999998</v>
      </c>
      <c r="K17" s="629">
        <f t="shared" si="1"/>
        <v>13.462663918760651</v>
      </c>
      <c r="L17" s="628">
        <f t="shared" si="2"/>
        <v>3.6680372410106536</v>
      </c>
    </row>
    <row r="18" spans="2:12" ht="15" customHeight="1" x14ac:dyDescent="0.2">
      <c r="B18" s="201" t="s">
        <v>292</v>
      </c>
      <c r="C18" s="650">
        <f>'Section 12 data country'!$J$72</f>
        <v>42.268999999999998</v>
      </c>
      <c r="D18" s="650">
        <f>'Section 12 data country'!$K$72</f>
        <v>3228.3240000000001</v>
      </c>
      <c r="E18" s="634">
        <f>'Section 12 data country'!$L$72</f>
        <v>10.16</v>
      </c>
      <c r="F18" s="649">
        <f t="shared" si="0"/>
        <v>3270.5929999999998</v>
      </c>
      <c r="G18" s="25"/>
      <c r="H18" s="201" t="s">
        <v>292</v>
      </c>
      <c r="I18" s="648">
        <f>'Section 12 data country'!$N$53</f>
        <v>21854.725999999999</v>
      </c>
      <c r="J18" s="629">
        <f>'Section 12 data country'!$N$15</f>
        <v>28762.093000000001</v>
      </c>
      <c r="K18" s="629">
        <f t="shared" si="1"/>
        <v>14.965152159766268</v>
      </c>
      <c r="L18" s="628">
        <f t="shared" si="2"/>
        <v>11.371192631913122</v>
      </c>
    </row>
    <row r="19" spans="2:12" ht="15" customHeight="1" x14ac:dyDescent="0.2">
      <c r="B19" s="201" t="s">
        <v>293</v>
      </c>
      <c r="C19" s="650">
        <f>'Section 12 data country'!$J$73</f>
        <v>15.721</v>
      </c>
      <c r="D19" s="650">
        <f>'Section 12 data country'!$K$73</f>
        <v>2782.7249999999999</v>
      </c>
      <c r="E19" s="634">
        <f>'Section 12 data country'!$L$73</f>
        <v>10.01</v>
      </c>
      <c r="F19" s="649">
        <f t="shared" si="0"/>
        <v>2798.4459999999999</v>
      </c>
      <c r="G19" s="25"/>
      <c r="H19" s="201" t="s">
        <v>293</v>
      </c>
      <c r="I19" s="648">
        <f>'Section 12 data country'!$N$54</f>
        <v>16691.351999999999</v>
      </c>
      <c r="J19" s="629">
        <f>'Section 12 data country'!$N$16</f>
        <v>22055.275000000001</v>
      </c>
      <c r="K19" s="629">
        <f t="shared" si="1"/>
        <v>16.765843773470237</v>
      </c>
      <c r="L19" s="628">
        <f t="shared" si="2"/>
        <v>12.688329662631727</v>
      </c>
    </row>
    <row r="20" spans="2:12" ht="15" customHeight="1" x14ac:dyDescent="0.2">
      <c r="B20" s="201" t="s">
        <v>294</v>
      </c>
      <c r="C20" s="650">
        <f>'Section 12 data country'!$J$74</f>
        <v>46.305999999999997</v>
      </c>
      <c r="D20" s="650">
        <f>'Section 12 data country'!$K$74</f>
        <v>4394.8010000000004</v>
      </c>
      <c r="E20" s="634">
        <f>'Section 12 data country'!$L$74</f>
        <v>11.41</v>
      </c>
      <c r="F20" s="649">
        <f t="shared" si="0"/>
        <v>4441.107</v>
      </c>
      <c r="G20" s="25"/>
      <c r="H20" s="201" t="s">
        <v>294</v>
      </c>
      <c r="I20" s="648">
        <f>'Section 12 data country'!$N$55</f>
        <v>17864.198</v>
      </c>
      <c r="J20" s="629">
        <f>'Section 12 data country'!$N$17</f>
        <v>25541.550999999999</v>
      </c>
      <c r="K20" s="629">
        <f t="shared" si="1"/>
        <v>24.860377163307305</v>
      </c>
      <c r="L20" s="628">
        <f t="shared" si="2"/>
        <v>17.387773358007898</v>
      </c>
    </row>
    <row r="21" spans="2:12" ht="15" customHeight="1" x14ac:dyDescent="0.2">
      <c r="B21" s="201" t="s">
        <v>295</v>
      </c>
      <c r="C21" s="650">
        <f>'Section 12 data country'!$J$75</f>
        <v>55.93</v>
      </c>
      <c r="D21" s="650">
        <f>'Section 12 data country'!$K$75</f>
        <v>5129.8940000000002</v>
      </c>
      <c r="E21" s="634">
        <f>'Section 12 data country'!$L$75</f>
        <v>12.72</v>
      </c>
      <c r="F21" s="649">
        <f t="shared" si="0"/>
        <v>5185.8240000000005</v>
      </c>
      <c r="G21" s="25"/>
      <c r="H21" s="201" t="s">
        <v>295</v>
      </c>
      <c r="I21" s="648">
        <f>'Section 12 data country'!$N$56</f>
        <v>22718.856</v>
      </c>
      <c r="J21" s="629">
        <f>'Section 12 data country'!$N$18</f>
        <v>34428.548000000003</v>
      </c>
      <c r="K21" s="629">
        <f t="shared" si="1"/>
        <v>22.826078918762459</v>
      </c>
      <c r="L21" s="628">
        <f t="shared" si="2"/>
        <v>15.062569586146937</v>
      </c>
    </row>
    <row r="22" spans="2:12" ht="15" customHeight="1" x14ac:dyDescent="0.2">
      <c r="B22" s="201" t="s">
        <v>296</v>
      </c>
      <c r="C22" s="647">
        <f>'Section 12 data country'!$J$76</f>
        <v>31.315999999999999</v>
      </c>
      <c r="D22" s="647">
        <f>'Section 12 data country'!$K$76</f>
        <v>1518.183</v>
      </c>
      <c r="E22" s="626">
        <f>'Section 12 data country'!$L$76</f>
        <v>11.24</v>
      </c>
      <c r="F22" s="646">
        <f t="shared" si="0"/>
        <v>1549.499</v>
      </c>
      <c r="G22" s="25"/>
      <c r="H22" s="201" t="s">
        <v>296</v>
      </c>
      <c r="I22" s="645">
        <f>'Section 12 data country'!$N$57</f>
        <v>11587.5</v>
      </c>
      <c r="J22" s="621">
        <f>'Section 12 data country'!$N$19</f>
        <v>19961.705999999998</v>
      </c>
      <c r="K22" s="621">
        <f t="shared" si="1"/>
        <v>13.372159654800431</v>
      </c>
      <c r="L22" s="620">
        <f t="shared" si="2"/>
        <v>7.7623575860700491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F2FD079-2944-4F0B-B2C5-A30664A914FA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74667CE3-5EA3-4B94-8999-B5350B074E4F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668</v>
      </c>
      <c r="C3" t="s">
        <v>903</v>
      </c>
    </row>
    <row r="5" spans="2:12" ht="15" customHeight="1" x14ac:dyDescent="0.2">
      <c r="B5" s="1070" t="s">
        <v>739</v>
      </c>
      <c r="C5" s="1141" t="s">
        <v>973</v>
      </c>
      <c r="D5" s="1141"/>
      <c r="E5" s="1141"/>
      <c r="F5" s="1133"/>
      <c r="G5" s="25"/>
      <c r="H5" s="1070" t="s">
        <v>738</v>
      </c>
      <c r="I5" s="1021" t="s">
        <v>284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278</v>
      </c>
      <c r="L6" s="640" t="s">
        <v>279</v>
      </c>
    </row>
    <row r="7" spans="2:12" ht="45" customHeight="1" x14ac:dyDescent="0.2">
      <c r="B7" s="1155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1155"/>
      <c r="I7" s="598" t="s">
        <v>271</v>
      </c>
      <c r="J7" s="597" t="s">
        <v>271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12 data country'!$Q$62</f>
        <v>3084.7159999999999</v>
      </c>
      <c r="D8" s="652">
        <f>'Section 12 data country'!$R$62</f>
        <v>112496.57399999999</v>
      </c>
      <c r="E8" s="638">
        <f>'Section 12 data country'!$S$62</f>
        <v>3.5417574645529024</v>
      </c>
      <c r="F8" s="651">
        <f t="shared" ref="F8:F22" si="0">SUM(C8,D8)</f>
        <v>115581.29</v>
      </c>
      <c r="G8" s="25"/>
      <c r="H8" s="636" t="s">
        <v>721</v>
      </c>
      <c r="I8" s="65">
        <f>'Section 12 data country'!$U$43</f>
        <v>1041478.706</v>
      </c>
      <c r="J8" s="66">
        <f>'Section 12 data country'!$U$5</f>
        <v>1347450.7200000002</v>
      </c>
      <c r="K8" s="55">
        <f t="shared" ref="K8:K22" si="1">IF(I8=0,0,100*F8/I8)</f>
        <v>11.097806353037429</v>
      </c>
      <c r="L8" s="56">
        <f t="shared" ref="L8:L22" si="2">IF(J8=0,0,100*F8/J8)</f>
        <v>8.5777749259728022</v>
      </c>
    </row>
    <row r="9" spans="2:12" ht="15" customHeight="1" x14ac:dyDescent="0.2">
      <c r="B9" s="632" t="s">
        <v>286</v>
      </c>
      <c r="C9" s="650">
        <f>'Section 12 data country'!$Q$63</f>
        <v>330.72</v>
      </c>
      <c r="D9" s="650">
        <f>'Section 12 data country'!$R$63</f>
        <v>3637.3789999999999</v>
      </c>
      <c r="E9" s="880">
        <f>'Section 12 data country'!$S$63</f>
        <v>15.84</v>
      </c>
      <c r="F9" s="649">
        <f t="shared" si="0"/>
        <v>3968.0990000000002</v>
      </c>
      <c r="G9" s="25"/>
      <c r="H9" s="632" t="s">
        <v>286</v>
      </c>
      <c r="I9" s="648">
        <f>'Section 12 data country'!$U$44</f>
        <v>49491.281999999999</v>
      </c>
      <c r="J9" s="629">
        <f>'Section 12 data country'!$U$6</f>
        <v>88711.834000000003</v>
      </c>
      <c r="K9" s="629">
        <f t="shared" si="1"/>
        <v>8.0177737161870244</v>
      </c>
      <c r="L9" s="628">
        <f t="shared" si="2"/>
        <v>4.4730210402368638</v>
      </c>
    </row>
    <row r="10" spans="2:12" ht="15" customHeight="1" x14ac:dyDescent="0.2">
      <c r="B10" s="632" t="s">
        <v>298</v>
      </c>
      <c r="C10" s="650">
        <f>'Section 12 data country'!$Q$64</f>
        <v>12.644</v>
      </c>
      <c r="D10" s="650">
        <f>'Section 12 data country'!$R$64</f>
        <v>11989.993</v>
      </c>
      <c r="E10" s="880">
        <f>'Section 12 data country'!$S$64</f>
        <v>10.16</v>
      </c>
      <c r="F10" s="649">
        <f t="shared" si="0"/>
        <v>12002.637000000001</v>
      </c>
      <c r="G10" s="25"/>
      <c r="H10" s="632" t="s">
        <v>298</v>
      </c>
      <c r="I10" s="648">
        <f>'Section 12 data country'!$U$45</f>
        <v>101036.16800000001</v>
      </c>
      <c r="J10" s="629">
        <f>'Section 12 data country'!$U$7</f>
        <v>124156.857</v>
      </c>
      <c r="K10" s="629">
        <f t="shared" si="1"/>
        <v>11.879544956613952</v>
      </c>
      <c r="L10" s="628">
        <f t="shared" si="2"/>
        <v>9.667317045565996</v>
      </c>
    </row>
    <row r="11" spans="2:12" ht="15" customHeight="1" x14ac:dyDescent="0.2">
      <c r="B11" s="632" t="s">
        <v>287</v>
      </c>
      <c r="C11" s="650">
        <f>'Section 12 data country'!$Q$65</f>
        <v>276.18200000000002</v>
      </c>
      <c r="D11" s="650">
        <f>'Section 12 data country'!$R$65</f>
        <v>12706.105</v>
      </c>
      <c r="E11" s="880">
        <f>'Section 12 data country'!$S$65</f>
        <v>12.86</v>
      </c>
      <c r="F11" s="649">
        <f t="shared" si="0"/>
        <v>12982.287</v>
      </c>
      <c r="G11" s="25"/>
      <c r="H11" s="632" t="s">
        <v>287</v>
      </c>
      <c r="I11" s="648">
        <f>'Section 12 data country'!$U$46</f>
        <v>99653.861000000004</v>
      </c>
      <c r="J11" s="629">
        <f>'Section 12 data country'!$U$8</f>
        <v>129036.50900000001</v>
      </c>
      <c r="K11" s="629">
        <f t="shared" si="1"/>
        <v>13.027379842312381</v>
      </c>
      <c r="L11" s="628">
        <f t="shared" si="2"/>
        <v>10.060940969814984</v>
      </c>
    </row>
    <row r="12" spans="2:12" ht="15" customHeight="1" x14ac:dyDescent="0.2">
      <c r="B12" s="632" t="s">
        <v>288</v>
      </c>
      <c r="C12" s="650">
        <f>'Section 12 data country'!$Q$66</f>
        <v>52.978999999999999</v>
      </c>
      <c r="D12" s="650">
        <f>'Section 12 data country'!$R$66</f>
        <v>4746.777</v>
      </c>
      <c r="E12" s="880">
        <f>'Section 12 data country'!$S$66</f>
        <v>19.09</v>
      </c>
      <c r="F12" s="649">
        <f t="shared" si="0"/>
        <v>4799.7560000000003</v>
      </c>
      <c r="G12" s="25"/>
      <c r="H12" s="632" t="s">
        <v>288</v>
      </c>
      <c r="I12" s="648">
        <f>'Section 12 data country'!$U$47</f>
        <v>41422.396000000001</v>
      </c>
      <c r="J12" s="629">
        <f>'Section 12 data country'!$U$9</f>
        <v>50700.447</v>
      </c>
      <c r="K12" s="629">
        <f t="shared" si="1"/>
        <v>11.587345164678547</v>
      </c>
      <c r="L12" s="628">
        <f t="shared" si="2"/>
        <v>9.4668908934865996</v>
      </c>
    </row>
    <row r="13" spans="2:12" ht="15" customHeight="1" x14ac:dyDescent="0.2">
      <c r="B13" s="632" t="s">
        <v>301</v>
      </c>
      <c r="C13" s="650">
        <f>'Section 12 data country'!$Q$67</f>
        <v>25.094999999999999</v>
      </c>
      <c r="D13" s="650">
        <f>'Section 12 data country'!$R$67</f>
        <v>1388.671</v>
      </c>
      <c r="E13" s="880">
        <f>'Section 12 data country'!$S$67</f>
        <v>31.39</v>
      </c>
      <c r="F13" s="649">
        <f t="shared" si="0"/>
        <v>1413.7660000000001</v>
      </c>
      <c r="G13" s="25"/>
      <c r="H13" s="632" t="s">
        <v>301</v>
      </c>
      <c r="I13" s="648">
        <f>'Section 12 data country'!$U$48</f>
        <v>21688.277999999998</v>
      </c>
      <c r="J13" s="629">
        <f>'Section 12 data country'!$U$10</f>
        <v>23832.075999999997</v>
      </c>
      <c r="K13" s="629">
        <f t="shared" si="1"/>
        <v>6.5185719216620157</v>
      </c>
      <c r="L13" s="628">
        <f t="shared" si="2"/>
        <v>5.932198269256947</v>
      </c>
    </row>
    <row r="14" spans="2:12" ht="15" customHeight="1" x14ac:dyDescent="0.2">
      <c r="B14" s="632" t="s">
        <v>302</v>
      </c>
      <c r="C14" s="650">
        <f>'Section 12 data country'!$Q$68</f>
        <v>20.41</v>
      </c>
      <c r="D14" s="650">
        <f>'Section 12 data country'!$R$68</f>
        <v>2442.5740000000001</v>
      </c>
      <c r="E14" s="880">
        <f>'Section 12 data country'!$S$68</f>
        <v>20.71</v>
      </c>
      <c r="F14" s="649">
        <f t="shared" si="0"/>
        <v>2462.9839999999999</v>
      </c>
      <c r="G14" s="25"/>
      <c r="H14" s="632" t="s">
        <v>302</v>
      </c>
      <c r="I14" s="648">
        <f>'Section 12 data country'!$U$49</f>
        <v>27971.547999999999</v>
      </c>
      <c r="J14" s="629">
        <f>'Section 12 data country'!$U$11</f>
        <v>30174.713000000003</v>
      </c>
      <c r="K14" s="629">
        <f t="shared" si="1"/>
        <v>8.8053188904668414</v>
      </c>
      <c r="L14" s="628">
        <f t="shared" si="2"/>
        <v>8.1624106913626644</v>
      </c>
    </row>
    <row r="15" spans="2:12" ht="15" customHeight="1" x14ac:dyDescent="0.2">
      <c r="B15" s="632" t="s">
        <v>303</v>
      </c>
      <c r="C15" s="650">
        <f>'Section 12 data country'!$Q$69</f>
        <v>111.19199999999999</v>
      </c>
      <c r="D15" s="650">
        <f>'Section 12 data country'!$R$69</f>
        <v>9038.51</v>
      </c>
      <c r="E15" s="880">
        <f>'Section 12 data country'!$S$69</f>
        <v>15.92</v>
      </c>
      <c r="F15" s="649">
        <f t="shared" si="0"/>
        <v>9149.7019999999993</v>
      </c>
      <c r="G15" s="25"/>
      <c r="H15" s="632" t="s">
        <v>303</v>
      </c>
      <c r="I15" s="648">
        <f>'Section 12 data country'!$U$50</f>
        <v>125248.374</v>
      </c>
      <c r="J15" s="629">
        <f>'Section 12 data country'!$U$12</f>
        <v>134691.53</v>
      </c>
      <c r="K15" s="629">
        <f t="shared" si="1"/>
        <v>7.30524613437297</v>
      </c>
      <c r="L15" s="628">
        <f t="shared" si="2"/>
        <v>6.7930789708900026</v>
      </c>
    </row>
    <row r="16" spans="2:12" ht="15" customHeight="1" x14ac:dyDescent="0.2">
      <c r="B16" s="632" t="s">
        <v>304</v>
      </c>
      <c r="C16" s="650">
        <f>'Section 12 data country'!$Q$70</f>
        <v>939.745</v>
      </c>
      <c r="D16" s="650">
        <f>'Section 12 data country'!$R$70</f>
        <v>5801.4470000000001</v>
      </c>
      <c r="E16" s="880">
        <f>'Section 12 data country'!$S$70</f>
        <v>11.84</v>
      </c>
      <c r="F16" s="649">
        <f t="shared" si="0"/>
        <v>6741.192</v>
      </c>
      <c r="G16" s="25"/>
      <c r="H16" s="632" t="s">
        <v>304</v>
      </c>
      <c r="I16" s="648">
        <f>'Section 12 data country'!$U$51</f>
        <v>46181.748999999996</v>
      </c>
      <c r="J16" s="629">
        <f>'Section 12 data country'!$U$13</f>
        <v>52731.939999999995</v>
      </c>
      <c r="K16" s="629">
        <f t="shared" si="1"/>
        <v>14.59709115824089</v>
      </c>
      <c r="L16" s="628">
        <f t="shared" si="2"/>
        <v>12.783887715870117</v>
      </c>
    </row>
    <row r="17" spans="2:12" ht="15" customHeight="1" x14ac:dyDescent="0.2">
      <c r="B17" s="632" t="s">
        <v>291</v>
      </c>
      <c r="C17" s="650">
        <f>'Section 12 data country'!$Q$71</f>
        <v>3.2050000000000001</v>
      </c>
      <c r="D17" s="650">
        <f>'Section 12 data country'!$R$71</f>
        <v>5916.0609999999997</v>
      </c>
      <c r="E17" s="880">
        <f>'Section 12 data country'!$S$71</f>
        <v>21.64</v>
      </c>
      <c r="F17" s="649">
        <f t="shared" si="0"/>
        <v>5919.2659999999996</v>
      </c>
      <c r="G17" s="25"/>
      <c r="H17" s="632" t="s">
        <v>291</v>
      </c>
      <c r="I17" s="648">
        <f>'Section 12 data country'!$U$52</f>
        <v>50374.337</v>
      </c>
      <c r="J17" s="629">
        <f>'Section 12 data country'!$U$14</f>
        <v>136668.861</v>
      </c>
      <c r="K17" s="629">
        <f t="shared" si="1"/>
        <v>11.750558622736811</v>
      </c>
      <c r="L17" s="628">
        <f t="shared" si="2"/>
        <v>4.3311007033269995</v>
      </c>
    </row>
    <row r="18" spans="2:12" ht="15" customHeight="1" x14ac:dyDescent="0.2">
      <c r="B18" s="632" t="s">
        <v>292</v>
      </c>
      <c r="C18" s="650">
        <f>'Section 12 data country'!$Q$72</f>
        <v>438.51100000000002</v>
      </c>
      <c r="D18" s="650">
        <f>'Section 12 data country'!$R$72</f>
        <v>9674.259</v>
      </c>
      <c r="E18" s="880">
        <f>'Section 12 data country'!$S$72</f>
        <v>8.5</v>
      </c>
      <c r="F18" s="649">
        <f t="shared" si="0"/>
        <v>10112.77</v>
      </c>
      <c r="G18" s="25"/>
      <c r="H18" s="632" t="s">
        <v>292</v>
      </c>
      <c r="I18" s="648">
        <f>'Section 12 data country'!$U$53</f>
        <v>108875.016</v>
      </c>
      <c r="J18" s="629">
        <f>'Section 12 data country'!$U$15</f>
        <v>127563.79300000001</v>
      </c>
      <c r="K18" s="629">
        <f t="shared" si="1"/>
        <v>9.2884211378669281</v>
      </c>
      <c r="L18" s="628">
        <f t="shared" si="2"/>
        <v>7.9276178311819248</v>
      </c>
    </row>
    <row r="19" spans="2:12" ht="15" customHeight="1" x14ac:dyDescent="0.2">
      <c r="B19" s="632" t="s">
        <v>293</v>
      </c>
      <c r="C19" s="650">
        <f>'Section 12 data country'!$Q$73</f>
        <v>134.43100000000001</v>
      </c>
      <c r="D19" s="650">
        <f>'Section 12 data country'!$R$73</f>
        <v>9108.02</v>
      </c>
      <c r="E19" s="880">
        <f>'Section 12 data country'!$S$73</f>
        <v>10.75</v>
      </c>
      <c r="F19" s="649">
        <f t="shared" si="0"/>
        <v>9242.4510000000009</v>
      </c>
      <c r="G19" s="25"/>
      <c r="H19" s="632" t="s">
        <v>293</v>
      </c>
      <c r="I19" s="648">
        <f>'Section 12 data country'!$U$54</f>
        <v>82949.718999999997</v>
      </c>
      <c r="J19" s="629">
        <f>'Section 12 data country'!$U$16</f>
        <v>94267.02</v>
      </c>
      <c r="K19" s="629">
        <f t="shared" si="1"/>
        <v>11.142233043610432</v>
      </c>
      <c r="L19" s="628">
        <f t="shared" si="2"/>
        <v>9.804543519037729</v>
      </c>
    </row>
    <row r="20" spans="2:12" ht="15" customHeight="1" x14ac:dyDescent="0.2">
      <c r="B20" s="632" t="s">
        <v>294</v>
      </c>
      <c r="C20" s="650">
        <f>'Section 12 data country'!$Q$74</f>
        <v>197.03</v>
      </c>
      <c r="D20" s="650">
        <f>'Section 12 data country'!$R$74</f>
        <v>13424.214</v>
      </c>
      <c r="E20" s="880">
        <f>'Section 12 data country'!$S$74</f>
        <v>10.77</v>
      </c>
      <c r="F20" s="649">
        <f t="shared" si="0"/>
        <v>13621.244000000001</v>
      </c>
      <c r="G20" s="25"/>
      <c r="H20" s="632" t="s">
        <v>294</v>
      </c>
      <c r="I20" s="648">
        <f>'Section 12 data country'!$U$55</f>
        <v>90018.031000000003</v>
      </c>
      <c r="J20" s="629">
        <f>'Section 12 data country'!$U$17</f>
        <v>105231.709</v>
      </c>
      <c r="K20" s="629">
        <f t="shared" si="1"/>
        <v>15.131684006729719</v>
      </c>
      <c r="L20" s="628">
        <f t="shared" si="2"/>
        <v>12.944049022334134</v>
      </c>
    </row>
    <row r="21" spans="2:12" ht="15" customHeight="1" x14ac:dyDescent="0.2">
      <c r="B21" s="632" t="s">
        <v>295</v>
      </c>
      <c r="C21" s="650">
        <f>'Section 12 data country'!$Q$75</f>
        <v>404.78199999999998</v>
      </c>
      <c r="D21" s="650">
        <f>'Section 12 data country'!$R$75</f>
        <v>13914.303</v>
      </c>
      <c r="E21" s="880">
        <f>'Section 12 data country'!$S$75</f>
        <v>8.23</v>
      </c>
      <c r="F21" s="649">
        <f t="shared" si="0"/>
        <v>14319.084999999999</v>
      </c>
      <c r="G21" s="25"/>
      <c r="H21" s="632" t="s">
        <v>295</v>
      </c>
      <c r="I21" s="648">
        <f>'Section 12 data country'!$U$56</f>
        <v>118195.003</v>
      </c>
      <c r="J21" s="629">
        <f>'Section 12 data country'!$U$18</f>
        <v>139638.38500000001</v>
      </c>
      <c r="K21" s="629">
        <f t="shared" si="1"/>
        <v>12.114797272774721</v>
      </c>
      <c r="L21" s="628">
        <f t="shared" si="2"/>
        <v>10.254404618042525</v>
      </c>
    </row>
    <row r="22" spans="2:12" ht="15" customHeight="1" x14ac:dyDescent="0.2">
      <c r="B22" s="624" t="s">
        <v>296</v>
      </c>
      <c r="C22" s="647">
        <f>'Section 12 data country'!$Q$76</f>
        <v>137.79</v>
      </c>
      <c r="D22" s="647">
        <f>'Section 12 data country'!$R$76</f>
        <v>8708.2610000000004</v>
      </c>
      <c r="E22" s="881">
        <f>'Section 12 data country'!$S$76</f>
        <v>10.92</v>
      </c>
      <c r="F22" s="646">
        <f t="shared" si="0"/>
        <v>8846.0510000000013</v>
      </c>
      <c r="G22" s="25"/>
      <c r="H22" s="624" t="s">
        <v>296</v>
      </c>
      <c r="I22" s="645">
        <f>'Section 12 data country'!$U$57</f>
        <v>78372.944000000003</v>
      </c>
      <c r="J22" s="621">
        <f>'Section 12 data country'!$U$19</f>
        <v>110045.046</v>
      </c>
      <c r="K22" s="621">
        <f t="shared" si="1"/>
        <v>11.287123525690193</v>
      </c>
      <c r="L22" s="620">
        <f t="shared" si="2"/>
        <v>8.0385726768654369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6D9C7A1-AEC3-4D6B-B647-7FB3CA2D7522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E3BA8130-7873-4BDD-9620-E3E578F95998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Index!$E$140</f>
        <v>Tree health - oak</v>
      </c>
    </row>
  </sheetData>
  <hyperlinks>
    <hyperlink ref="A1" location="Index!B102" display="Return to index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5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671</v>
      </c>
      <c r="C3" t="s">
        <v>404</v>
      </c>
    </row>
    <row r="5" spans="2:6" ht="15" customHeight="1" x14ac:dyDescent="0.2">
      <c r="B5" s="1147" t="s">
        <v>267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48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18"/>
      <c r="F7" s="92"/>
    </row>
    <row r="8" spans="2:6" ht="15" customHeight="1" x14ac:dyDescent="0.2">
      <c r="B8" s="99" t="s">
        <v>335</v>
      </c>
      <c r="C8" s="840">
        <f>'Section 13 data'!$C$13</f>
        <v>0.52315</v>
      </c>
      <c r="D8" s="841">
        <f>'Section 13 data'!$D$13</f>
        <v>6.7045200000000005</v>
      </c>
      <c r="E8" s="205">
        <f>'Section 13 data'!$E$13</f>
        <v>10.1437742925643</v>
      </c>
      <c r="F8" s="842">
        <f>SUM(C8,D8)</f>
        <v>7.2276700000000007</v>
      </c>
    </row>
    <row r="9" spans="2:6" ht="15" customHeight="1" x14ac:dyDescent="0.2">
      <c r="B9" s="100" t="s">
        <v>336</v>
      </c>
      <c r="C9" s="840">
        <f>'Section 13 data'!$C$14</f>
        <v>0.21994999999999998</v>
      </c>
      <c r="D9" s="841">
        <f>'Section 13 data'!$D$14</f>
        <v>9.988050000000003</v>
      </c>
      <c r="E9" s="205">
        <f>'Section 13 data'!$E$14</f>
        <v>7.6293123196940593</v>
      </c>
      <c r="F9" s="842">
        <f t="shared" ref="F9:F15" si="0">SUM(C9,D9)</f>
        <v>10.208000000000004</v>
      </c>
    </row>
    <row r="10" spans="2:6" ht="15" customHeight="1" x14ac:dyDescent="0.2">
      <c r="B10" s="99" t="s">
        <v>337</v>
      </c>
      <c r="C10" s="840">
        <f>'Section 13 data'!$C$15</f>
        <v>0.21438000000000001</v>
      </c>
      <c r="D10" s="841">
        <f>'Section 13 data'!$D$15</f>
        <v>22.206239999999998</v>
      </c>
      <c r="E10" s="205">
        <f>'Section 13 data'!$E$15</f>
        <v>5.9510417782530016</v>
      </c>
      <c r="F10" s="842">
        <f t="shared" si="0"/>
        <v>22.420619999999996</v>
      </c>
    </row>
    <row r="11" spans="2:6" ht="15" customHeight="1" x14ac:dyDescent="0.2">
      <c r="B11" s="99" t="s">
        <v>338</v>
      </c>
      <c r="C11" s="840">
        <f>'Section 13 data'!$C$16</f>
        <v>0.87028000000000005</v>
      </c>
      <c r="D11" s="841">
        <f>'Section 13 data'!$D$16</f>
        <v>20.571140000000003</v>
      </c>
      <c r="E11" s="205">
        <f>'Section 13 data'!$E$16</f>
        <v>7.1144679541024196</v>
      </c>
      <c r="F11" s="842">
        <f t="shared" si="0"/>
        <v>21.441420000000004</v>
      </c>
    </row>
    <row r="12" spans="2:6" ht="15" customHeight="1" x14ac:dyDescent="0.2">
      <c r="B12" s="99" t="s">
        <v>339</v>
      </c>
      <c r="C12" s="840">
        <f>'Section 13 data'!$C$17</f>
        <v>0.96494000000000002</v>
      </c>
      <c r="D12" s="841">
        <f>'Section 13 data'!$D$17</f>
        <v>28.67586</v>
      </c>
      <c r="E12" s="205">
        <f>'Section 13 data'!$E$17</f>
        <v>6.7400162568784632</v>
      </c>
      <c r="F12" s="842">
        <f t="shared" si="0"/>
        <v>29.640799999999999</v>
      </c>
    </row>
    <row r="13" spans="2:6" ht="15" customHeight="1" x14ac:dyDescent="0.2">
      <c r="B13" s="99" t="s">
        <v>340</v>
      </c>
      <c r="C13" s="840">
        <f>'Section 13 data'!$C$18</f>
        <v>0.37048000000000003</v>
      </c>
      <c r="D13" s="841">
        <f>'Section 13 data'!$D$18</f>
        <v>36.610960000000006</v>
      </c>
      <c r="E13" s="205">
        <f>'Section 13 data'!$E$18</f>
        <v>5.8587911931204113</v>
      </c>
      <c r="F13" s="842">
        <f t="shared" si="0"/>
        <v>36.981440000000006</v>
      </c>
    </row>
    <row r="14" spans="2:6" ht="15" customHeight="1" x14ac:dyDescent="0.2">
      <c r="B14" s="99" t="s">
        <v>268</v>
      </c>
      <c r="C14" s="840">
        <f>'Section 13 data'!$C$19</f>
        <v>0.10539000000000001</v>
      </c>
      <c r="D14" s="841">
        <f>'Section 13 data'!$D$19</f>
        <v>25.957989999999999</v>
      </c>
      <c r="E14" s="205">
        <f>'Section 13 data'!$E$19</f>
        <v>6.8689389700406984</v>
      </c>
      <c r="F14" s="842">
        <f t="shared" si="0"/>
        <v>26.063379999999999</v>
      </c>
    </row>
    <row r="15" spans="2:6" ht="15" customHeight="1" x14ac:dyDescent="0.2">
      <c r="B15" s="101" t="s">
        <v>80</v>
      </c>
      <c r="C15" s="102">
        <f>'Eng Table 10'!C18</f>
        <v>15.691970000000001</v>
      </c>
      <c r="D15" s="102">
        <f>'Eng Table 10'!D18</f>
        <v>150.71477000000002</v>
      </c>
      <c r="E15" s="321">
        <f>'Eng Table 10'!E18</f>
        <v>2.5538579194905484</v>
      </c>
      <c r="F15" s="102">
        <f t="shared" si="0"/>
        <v>166.40674000000001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0DFBD5-6405-4830-8C4B-0190C56395B6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4C06E3CA-422C-474F-B3FA-84EFB5621BB0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672</v>
      </c>
      <c r="C3" t="s">
        <v>405</v>
      </c>
    </row>
    <row r="5" spans="2:6" ht="15" customHeight="1" x14ac:dyDescent="0.2">
      <c r="B5" s="1150" t="s">
        <v>269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51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93"/>
      <c r="F7" s="92"/>
    </row>
    <row r="8" spans="2:6" ht="15" customHeight="1" x14ac:dyDescent="0.2">
      <c r="B8" s="94" t="s">
        <v>341</v>
      </c>
      <c r="C8" s="836">
        <f>'Section 13 data'!$C$24</f>
        <v>1.08599</v>
      </c>
      <c r="D8" s="837">
        <f>'Section 13 data'!$D$24</f>
        <v>12.032980000000002</v>
      </c>
      <c r="E8" s="205">
        <f>'Section 13 data'!$E$24</f>
        <v>6.6570336786105928</v>
      </c>
      <c r="F8" s="838">
        <f>SUM(C8,D8)</f>
        <v>13.118970000000003</v>
      </c>
    </row>
    <row r="9" spans="2:6" ht="15" customHeight="1" x14ac:dyDescent="0.2">
      <c r="B9" s="95" t="s">
        <v>342</v>
      </c>
      <c r="C9" s="836">
        <f>'Section 13 data'!$C$25</f>
        <v>1.1146399999999999</v>
      </c>
      <c r="D9" s="837">
        <f>'Section 13 data'!$D$25</f>
        <v>5.8703700000000021</v>
      </c>
      <c r="E9" s="205">
        <f>'Section 13 data'!$E$25</f>
        <v>9.1810950159516143</v>
      </c>
      <c r="F9" s="838">
        <f t="shared" ref="F9:F17" si="0">SUM(C9,D9)</f>
        <v>6.9850100000000017</v>
      </c>
    </row>
    <row r="10" spans="2:6" ht="15" customHeight="1" x14ac:dyDescent="0.2">
      <c r="B10" s="96" t="s">
        <v>343</v>
      </c>
      <c r="C10" s="836">
        <f>'Section 13 data'!$C$26</f>
        <v>0.79662000000000011</v>
      </c>
      <c r="D10" s="837">
        <f>'Section 13 data'!$D$26</f>
        <v>9.5478699999999996</v>
      </c>
      <c r="E10" s="205">
        <f>'Section 13 data'!$E$26</f>
        <v>8.9492495253971036</v>
      </c>
      <c r="F10" s="838">
        <f t="shared" si="0"/>
        <v>10.34449</v>
      </c>
    </row>
    <row r="11" spans="2:6" ht="15" customHeight="1" x14ac:dyDescent="0.2">
      <c r="B11" s="94" t="s">
        <v>344</v>
      </c>
      <c r="C11" s="836">
        <f>'Section 13 data'!$C$27</f>
        <v>2.0587999999999997</v>
      </c>
      <c r="D11" s="837">
        <f>'Section 13 data'!$D$27</f>
        <v>11.631609999999998</v>
      </c>
      <c r="E11" s="205">
        <f>'Section 13 data'!$E$27</f>
        <v>9.3038702265041078</v>
      </c>
      <c r="F11" s="838">
        <f t="shared" si="0"/>
        <v>13.690409999999998</v>
      </c>
    </row>
    <row r="12" spans="2:6" ht="15" customHeight="1" x14ac:dyDescent="0.2">
      <c r="B12" s="94" t="s">
        <v>345</v>
      </c>
      <c r="C12" s="836">
        <f>'Section 13 data'!$C$28</f>
        <v>6.5745900000000015</v>
      </c>
      <c r="D12" s="837">
        <f>'Section 13 data'!$D$28</f>
        <v>24.028780000000001</v>
      </c>
      <c r="E12" s="205">
        <f>'Section 13 data'!$E$28</f>
        <v>6.490718778967083</v>
      </c>
      <c r="F12" s="838">
        <f t="shared" si="0"/>
        <v>30.603370000000002</v>
      </c>
    </row>
    <row r="13" spans="2:6" ht="15" customHeight="1" x14ac:dyDescent="0.2">
      <c r="B13" s="94" t="s">
        <v>346</v>
      </c>
      <c r="C13" s="836">
        <f>'Section 13 data'!$C$29</f>
        <v>1.8216399999999999</v>
      </c>
      <c r="D13" s="837">
        <f>'Section 13 data'!$D$29</f>
        <v>19.319609999999997</v>
      </c>
      <c r="E13" s="205">
        <f>'Section 13 data'!$E$29</f>
        <v>7.7312684582199056</v>
      </c>
      <c r="F13" s="838">
        <f t="shared" si="0"/>
        <v>21.141249999999996</v>
      </c>
    </row>
    <row r="14" spans="2:6" ht="15" customHeight="1" x14ac:dyDescent="0.2">
      <c r="B14" s="94" t="s">
        <v>347</v>
      </c>
      <c r="C14" s="836">
        <f>'Section 13 data'!$C$30</f>
        <v>1.8857900000000003</v>
      </c>
      <c r="D14" s="837">
        <f>'Section 13 data'!$D$30</f>
        <v>38.712870000000002</v>
      </c>
      <c r="E14" s="205">
        <f>'Section 13 data'!$E$30</f>
        <v>5.5553663497791899</v>
      </c>
      <c r="F14" s="838">
        <f t="shared" si="0"/>
        <v>40.598660000000002</v>
      </c>
    </row>
    <row r="15" spans="2:6" ht="15" customHeight="1" x14ac:dyDescent="0.2">
      <c r="B15" s="94" t="s">
        <v>348</v>
      </c>
      <c r="C15" s="836">
        <f>'Section 13 data'!$C$31</f>
        <v>0.31593000000000004</v>
      </c>
      <c r="D15" s="837">
        <f>'Section 13 data'!$D$31</f>
        <v>18.124949999999998</v>
      </c>
      <c r="E15" s="205">
        <f>'Section 13 data'!$E$31</f>
        <v>8.0316785641595345</v>
      </c>
      <c r="F15" s="838">
        <f t="shared" si="0"/>
        <v>18.44088</v>
      </c>
    </row>
    <row r="16" spans="2:6" ht="15" customHeight="1" x14ac:dyDescent="0.2">
      <c r="B16" s="94" t="s">
        <v>270</v>
      </c>
      <c r="C16" s="836">
        <f>'Section 13 data'!$C$32</f>
        <v>3.7980000000000007E-2</v>
      </c>
      <c r="D16" s="837">
        <f>'Section 13 data'!$D$32</f>
        <v>11.445690000000001</v>
      </c>
      <c r="E16" s="205">
        <f>'Section 13 data'!$E$32</f>
        <v>12.037802006970853</v>
      </c>
      <c r="F16" s="838">
        <f t="shared" si="0"/>
        <v>11.48367</v>
      </c>
    </row>
    <row r="17" spans="2:6" ht="15" customHeight="1" x14ac:dyDescent="0.2">
      <c r="B17" s="97" t="s">
        <v>80</v>
      </c>
      <c r="C17" s="839">
        <f>'Eng Table 10'!C18</f>
        <v>15.691970000000001</v>
      </c>
      <c r="D17" s="839">
        <f>'Eng Table 10'!D18</f>
        <v>150.71477000000002</v>
      </c>
      <c r="E17" s="321">
        <f>'Eng Table 10'!E18</f>
        <v>2.5538579194905484</v>
      </c>
      <c r="F17" s="839">
        <f t="shared" si="0"/>
        <v>166.40674000000001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78A2836-2B8E-48AB-BE90-5735BFC018A7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DC7E7F93-5F8E-4DC2-9EDA-115214AEC5F1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914</v>
      </c>
      <c r="C3" t="s">
        <v>406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75" t="s">
        <v>326</v>
      </c>
      <c r="D6" s="75" t="s">
        <v>326</v>
      </c>
      <c r="E6" s="19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13 data'!$J$13</f>
        <v>0</v>
      </c>
      <c r="D8" s="829">
        <f>'Section 13 data'!$K$13</f>
        <v>7.5186999999999999</v>
      </c>
      <c r="E8" s="205">
        <f>'Section 13 data'!$L$13</f>
        <v>50.169224018080648</v>
      </c>
      <c r="F8" s="822">
        <f>SUM(C8,D8)</f>
        <v>7.5186999999999999</v>
      </c>
    </row>
    <row r="9" spans="2:6" ht="15" customHeight="1" x14ac:dyDescent="0.2">
      <c r="B9" s="82" t="s">
        <v>336</v>
      </c>
      <c r="C9" s="67">
        <f>'Section 13 data'!$J$14</f>
        <v>3.6739999999999999</v>
      </c>
      <c r="D9" s="829">
        <f>'Section 13 data'!$K$14</f>
        <v>351.70854000000003</v>
      </c>
      <c r="E9" s="205">
        <f>'Section 13 data'!$L$14</f>
        <v>12.545282003905941</v>
      </c>
      <c r="F9" s="822">
        <f t="shared" ref="F9:F15" si="0">SUM(C9,D9)</f>
        <v>355.38254000000001</v>
      </c>
    </row>
    <row r="10" spans="2:6" ht="15" customHeight="1" x14ac:dyDescent="0.2">
      <c r="B10" s="81" t="s">
        <v>337</v>
      </c>
      <c r="C10" s="67">
        <f>'Section 13 data'!$J$15</f>
        <v>47.097999999999999</v>
      </c>
      <c r="D10" s="829">
        <f>'Section 13 data'!$K$15</f>
        <v>2577.1997099999999</v>
      </c>
      <c r="E10" s="205">
        <f>'Section 13 data'!$L$15</f>
        <v>8.2467837211086348</v>
      </c>
      <c r="F10" s="822">
        <f t="shared" si="0"/>
        <v>2624.2977099999998</v>
      </c>
    </row>
    <row r="11" spans="2:6" ht="15" customHeight="1" x14ac:dyDescent="0.2">
      <c r="B11" s="81" t="s">
        <v>338</v>
      </c>
      <c r="C11" s="67">
        <f>'Section 13 data'!$J$16</f>
        <v>278.62299999999999</v>
      </c>
      <c r="D11" s="829">
        <f>'Section 13 data'!$K$16</f>
        <v>4648.3827000000001</v>
      </c>
      <c r="E11" s="205">
        <f>'Section 13 data'!$L$16</f>
        <v>8.5796864829987314</v>
      </c>
      <c r="F11" s="822">
        <f t="shared" si="0"/>
        <v>4927.0056999999997</v>
      </c>
    </row>
    <row r="12" spans="2:6" ht="15" customHeight="1" x14ac:dyDescent="0.2">
      <c r="B12" s="81" t="s">
        <v>339</v>
      </c>
      <c r="C12" s="67">
        <f>'Section 13 data'!$J$17</f>
        <v>599.52</v>
      </c>
      <c r="D12" s="829">
        <f>'Section 13 data'!$K$17</f>
        <v>8989.1778400000003</v>
      </c>
      <c r="E12" s="205">
        <f>'Section 13 data'!$L$17</f>
        <v>7.3371138662490951</v>
      </c>
      <c r="F12" s="822">
        <f t="shared" si="0"/>
        <v>9588.6978400000007</v>
      </c>
    </row>
    <row r="13" spans="2:6" ht="15" customHeight="1" x14ac:dyDescent="0.2">
      <c r="B13" s="81" t="s">
        <v>340</v>
      </c>
      <c r="C13" s="67">
        <f>'Section 13 data'!$J$18</f>
        <v>370.36700000000002</v>
      </c>
      <c r="D13" s="829">
        <f>'Section 13 data'!$K$18</f>
        <v>15855.07352</v>
      </c>
      <c r="E13" s="205">
        <f>'Section 13 data'!$L$18</f>
        <v>7.030832556113416</v>
      </c>
      <c r="F13" s="822">
        <f t="shared" si="0"/>
        <v>16225.44052</v>
      </c>
    </row>
    <row r="14" spans="2:6" ht="15" customHeight="1" x14ac:dyDescent="0.2">
      <c r="B14" s="81" t="s">
        <v>268</v>
      </c>
      <c r="C14" s="67">
        <f>'Section 13 data'!$J$19</f>
        <v>2046.0239999999999</v>
      </c>
      <c r="D14" s="829">
        <f>'Section 13 data'!$K$19</f>
        <v>14517.66836</v>
      </c>
      <c r="E14" s="205">
        <f>'Section 13 data'!$L$19</f>
        <v>8.1544112504187005</v>
      </c>
      <c r="F14" s="822">
        <f t="shared" si="0"/>
        <v>16563.692360000001</v>
      </c>
    </row>
    <row r="15" spans="2:6" ht="15" customHeight="1" x14ac:dyDescent="0.2">
      <c r="B15" s="83" t="s">
        <v>80</v>
      </c>
      <c r="C15" s="830">
        <f>'Eng Table 18'!C18</f>
        <v>3345.3009999999999</v>
      </c>
      <c r="D15" s="830">
        <f>'Eng Table 18'!D18</f>
        <v>50885.180999999997</v>
      </c>
      <c r="E15" s="321">
        <f>'Eng Table 18'!E18</f>
        <v>3.4947469097501185</v>
      </c>
      <c r="F15" s="831">
        <f t="shared" si="0"/>
        <v>54230.481999999996</v>
      </c>
    </row>
    <row r="17" spans="4:4" ht="15" customHeight="1" x14ac:dyDescent="0.2">
      <c r="D17" s="563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0A81A77-0C04-46C1-81B5-E469348EAF73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4C03C85D-305A-41A4-B936-D83AFC2A8308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5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915</v>
      </c>
      <c r="C3" t="s">
        <v>407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326</v>
      </c>
      <c r="D6" s="75" t="s">
        <v>326</v>
      </c>
      <c r="E6" s="21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2"/>
      <c r="F7" s="71"/>
    </row>
    <row r="8" spans="2:6" ht="15" customHeight="1" x14ac:dyDescent="0.2">
      <c r="B8" s="78" t="s">
        <v>341</v>
      </c>
      <c r="C8" s="67">
        <f>'Section 13 data'!$J$24</f>
        <v>6.4219999999999997</v>
      </c>
      <c r="D8" s="85">
        <f>'Section 13 data'!$K$24</f>
        <v>98.411000000000001</v>
      </c>
      <c r="E8" s="205">
        <f>'Section 13 data'!$L$24</f>
        <v>11.93919697017666</v>
      </c>
      <c r="F8" s="822">
        <f>SUM(C8,D8)</f>
        <v>104.833</v>
      </c>
    </row>
    <row r="9" spans="2:6" ht="15" customHeight="1" x14ac:dyDescent="0.2">
      <c r="B9" s="79" t="s">
        <v>342</v>
      </c>
      <c r="C9" s="67">
        <f>'Section 13 data'!$J$25</f>
        <v>59.917000000000002</v>
      </c>
      <c r="D9" s="85">
        <f>'Section 13 data'!$K$25</f>
        <v>245.92099999999999</v>
      </c>
      <c r="E9" s="205">
        <f>'Section 13 data'!$L$25</f>
        <v>11.3783420323679</v>
      </c>
      <c r="F9" s="822">
        <f t="shared" ref="F9:F17" si="0">SUM(C9,D9)</f>
        <v>305.83799999999997</v>
      </c>
    </row>
    <row r="10" spans="2:6" ht="15" customHeight="1" x14ac:dyDescent="0.2">
      <c r="B10" s="80" t="s">
        <v>343</v>
      </c>
      <c r="C10" s="67">
        <f>'Section 13 data'!$J$26</f>
        <v>123.959</v>
      </c>
      <c r="D10" s="85">
        <f>'Section 13 data'!$K$26</f>
        <v>879.505</v>
      </c>
      <c r="E10" s="205">
        <f>'Section 13 data'!$L$26</f>
        <v>9.2869574092703946</v>
      </c>
      <c r="F10" s="822">
        <f t="shared" si="0"/>
        <v>1003.4639999999999</v>
      </c>
    </row>
    <row r="11" spans="2:6" ht="15" customHeight="1" x14ac:dyDescent="0.2">
      <c r="B11" s="78" t="s">
        <v>344</v>
      </c>
      <c r="C11" s="67">
        <f>'Section 13 data'!$J$27</f>
        <v>411.64</v>
      </c>
      <c r="D11" s="85">
        <f>'Section 13 data'!$K$27</f>
        <v>1468.079</v>
      </c>
      <c r="E11" s="205">
        <f>'Section 13 data'!$L$27</f>
        <v>9.8324237932009382</v>
      </c>
      <c r="F11" s="822">
        <f t="shared" si="0"/>
        <v>1879.7190000000001</v>
      </c>
    </row>
    <row r="12" spans="2:6" ht="15" customHeight="1" x14ac:dyDescent="0.2">
      <c r="B12" s="78" t="s">
        <v>345</v>
      </c>
      <c r="C12" s="67">
        <v>0.6</v>
      </c>
      <c r="D12" s="85">
        <f>'Section 13 data'!$K$28</f>
        <v>5913.6769999999997</v>
      </c>
      <c r="E12" s="205">
        <f>'Section 13 data'!$L$28</f>
        <v>6.884299683298595</v>
      </c>
      <c r="F12" s="822">
        <f t="shared" si="0"/>
        <v>5914.277</v>
      </c>
    </row>
    <row r="13" spans="2:6" ht="15" customHeight="1" x14ac:dyDescent="0.2">
      <c r="B13" s="78" t="s">
        <v>346</v>
      </c>
      <c r="C13" s="67">
        <f>'Section 13 data'!$J$29</f>
        <v>403.733</v>
      </c>
      <c r="D13" s="85">
        <f>'Section 13 data'!$K$29</f>
        <v>5955.2979999999998</v>
      </c>
      <c r="E13" s="205">
        <f>'Section 13 data'!$L$29</f>
        <v>8.0299116521777485</v>
      </c>
      <c r="F13" s="822">
        <f t="shared" si="0"/>
        <v>6359.0309999999999</v>
      </c>
    </row>
    <row r="14" spans="2:6" ht="15" customHeight="1" x14ac:dyDescent="0.2">
      <c r="B14" s="78" t="s">
        <v>347</v>
      </c>
      <c r="C14" s="67">
        <f>'Section 13 data'!$J$30</f>
        <v>321.245</v>
      </c>
      <c r="D14" s="85">
        <f>'Section 13 data'!$K$30</f>
        <v>15841.865</v>
      </c>
      <c r="E14" s="205">
        <f>'Section 13 data'!$L$30</f>
        <v>5.9675569064037957</v>
      </c>
      <c r="F14" s="822">
        <f t="shared" si="0"/>
        <v>16163.11</v>
      </c>
    </row>
    <row r="15" spans="2:6" ht="15" customHeight="1" x14ac:dyDescent="0.2">
      <c r="B15" s="78" t="s">
        <v>348</v>
      </c>
      <c r="C15" s="67">
        <f>'Section 13 data'!$J$31</f>
        <v>66</v>
      </c>
      <c r="D15" s="85">
        <f>'Section 13 data'!$K$31</f>
        <v>11283.728999999999</v>
      </c>
      <c r="E15" s="205">
        <f>'Section 13 data'!$L$31</f>
        <v>7.8733998409724588</v>
      </c>
      <c r="F15" s="822">
        <f t="shared" si="0"/>
        <v>11349.728999999999</v>
      </c>
    </row>
    <row r="16" spans="2:6" ht="15" customHeight="1" x14ac:dyDescent="0.2">
      <c r="B16" s="78" t="s">
        <v>270</v>
      </c>
      <c r="C16" s="67">
        <f>'Section 13 data'!$J$32</f>
        <v>6.2380000000000004</v>
      </c>
      <c r="D16" s="85">
        <f>'Section 13 data'!$K$32</f>
        <v>9198.6990000000005</v>
      </c>
      <c r="E16" s="205">
        <f>'Section 13 data'!$L$32</f>
        <v>12.361940931408927</v>
      </c>
      <c r="F16" s="822">
        <f t="shared" si="0"/>
        <v>9204.9369999999999</v>
      </c>
    </row>
    <row r="17" spans="2:6" ht="15" customHeight="1" x14ac:dyDescent="0.2">
      <c r="B17" s="86" t="s">
        <v>80</v>
      </c>
      <c r="C17" s="87">
        <f>'Eng Table 18'!C18</f>
        <v>3345.3009999999999</v>
      </c>
      <c r="D17" s="87">
        <f>'Eng Table 18'!D18</f>
        <v>50885.180999999997</v>
      </c>
      <c r="E17" s="321">
        <f>'Eng Table 18'!E18</f>
        <v>3.4947469097501185</v>
      </c>
      <c r="F17" s="87">
        <f t="shared" si="0"/>
        <v>54230.481999999996</v>
      </c>
    </row>
    <row r="18" spans="2:6" ht="15" customHeight="1" x14ac:dyDescent="0.2">
      <c r="D18" s="563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C824AD-4B74-444C-84BF-EA597F91744E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608DF7FB-12FA-427C-A63F-BFD4358C70A1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2:T42"/>
  <sheetViews>
    <sheetView topLeftCell="G1"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</cols>
  <sheetData>
    <row r="2" spans="1:20" ht="13.5" thickBot="1" x14ac:dyDescent="0.25"/>
    <row r="3" spans="1:20" x14ac:dyDescent="0.2">
      <c r="A3" s="278"/>
      <c r="B3" s="1006" t="s">
        <v>482</v>
      </c>
      <c r="C3" s="1007"/>
      <c r="D3" s="1007"/>
      <c r="E3" s="1007"/>
      <c r="F3" s="1008"/>
      <c r="H3" s="1006" t="s">
        <v>482</v>
      </c>
      <c r="I3" s="1009"/>
      <c r="J3" s="1009"/>
      <c r="K3" s="1009"/>
      <c r="L3" s="1009"/>
      <c r="M3" s="1009"/>
      <c r="N3" s="1010"/>
      <c r="P3" s="1006" t="s">
        <v>482</v>
      </c>
      <c r="Q3" s="1007"/>
      <c r="R3" s="1007"/>
      <c r="S3" s="1007"/>
      <c r="T3" s="1008"/>
    </row>
    <row r="4" spans="1:20" ht="13.5" thickBot="1" x14ac:dyDescent="0.25">
      <c r="A4" s="278"/>
      <c r="B4" s="286" t="s">
        <v>78</v>
      </c>
      <c r="C4" s="287" t="s">
        <v>379</v>
      </c>
      <c r="D4" s="287" t="s">
        <v>481</v>
      </c>
      <c r="E4" s="290" t="s">
        <v>479</v>
      </c>
      <c r="F4" s="288" t="s">
        <v>378</v>
      </c>
      <c r="H4" s="289" t="s">
        <v>309</v>
      </c>
      <c r="I4" s="290" t="s">
        <v>379</v>
      </c>
      <c r="J4" s="287" t="s">
        <v>481</v>
      </c>
      <c r="K4" s="290" t="s">
        <v>82</v>
      </c>
      <c r="L4" s="290" t="s">
        <v>310</v>
      </c>
      <c r="M4" s="290" t="s">
        <v>479</v>
      </c>
      <c r="N4" s="291" t="s">
        <v>378</v>
      </c>
      <c r="P4" s="286" t="s">
        <v>486</v>
      </c>
      <c r="Q4" s="287" t="s">
        <v>379</v>
      </c>
      <c r="R4" s="287" t="s">
        <v>481</v>
      </c>
      <c r="S4" s="290" t="s">
        <v>479</v>
      </c>
      <c r="T4" s="288" t="s">
        <v>378</v>
      </c>
    </row>
    <row r="5" spans="1:20" x14ac:dyDescent="0.2">
      <c r="A5" s="278"/>
      <c r="B5" s="304" t="s">
        <v>92</v>
      </c>
      <c r="C5" s="305">
        <v>2013</v>
      </c>
      <c r="D5" s="294">
        <v>26375.967000000001</v>
      </c>
      <c r="E5" s="334"/>
      <c r="F5" s="342"/>
      <c r="G5" s="326"/>
      <c r="H5" s="337" t="s">
        <v>92</v>
      </c>
      <c r="I5" s="305">
        <v>2013</v>
      </c>
      <c r="J5" s="281">
        <v>62706.601000000002</v>
      </c>
      <c r="K5" s="281">
        <v>2.47371489657557</v>
      </c>
      <c r="L5" s="294">
        <f t="shared" ref="L5:L10" si="0">(K5*J5)/100</f>
        <v>1551.1825300732055</v>
      </c>
      <c r="M5" s="334"/>
      <c r="N5" s="342"/>
      <c r="O5" s="326"/>
      <c r="P5" s="337" t="s">
        <v>92</v>
      </c>
      <c r="Q5" s="305">
        <v>2013</v>
      </c>
      <c r="R5" s="294">
        <f t="shared" ref="R5:R10" si="1">D5+J5</f>
        <v>89082.567999999999</v>
      </c>
      <c r="S5" s="334"/>
      <c r="T5" s="342"/>
    </row>
    <row r="6" spans="1:20" x14ac:dyDescent="0.2">
      <c r="A6" s="278"/>
      <c r="B6" s="292"/>
      <c r="C6" s="293">
        <v>2017</v>
      </c>
      <c r="D6" s="284">
        <v>26128.664000000001</v>
      </c>
      <c r="E6" s="335"/>
      <c r="F6" s="343"/>
      <c r="G6" s="326"/>
      <c r="H6" s="338"/>
      <c r="I6" s="293">
        <v>2017</v>
      </c>
      <c r="J6" s="282">
        <v>59600.669000000002</v>
      </c>
      <c r="K6" s="282">
        <v>2.500954617250859</v>
      </c>
      <c r="L6" s="284">
        <f t="shared" si="0"/>
        <v>1490.5856832679015</v>
      </c>
      <c r="M6" s="335"/>
      <c r="N6" s="343"/>
      <c r="O6" s="326"/>
      <c r="P6" s="338"/>
      <c r="Q6" s="293">
        <v>2017</v>
      </c>
      <c r="R6" s="284">
        <f t="shared" si="1"/>
        <v>85729.332999999999</v>
      </c>
      <c r="S6" s="335"/>
      <c r="T6" s="343"/>
    </row>
    <row r="7" spans="1:20" x14ac:dyDescent="0.2">
      <c r="A7" s="278"/>
      <c r="B7" s="292"/>
      <c r="C7" s="293">
        <v>2022</v>
      </c>
      <c r="D7" s="284">
        <v>26440.49</v>
      </c>
      <c r="E7" s="335"/>
      <c r="F7" s="343"/>
      <c r="G7" s="326"/>
      <c r="H7" s="338"/>
      <c r="I7" s="293">
        <v>2022</v>
      </c>
      <c r="J7" s="282">
        <v>53334.332999999999</v>
      </c>
      <c r="K7" s="282">
        <v>2.6196663645426534</v>
      </c>
      <c r="L7" s="284">
        <f t="shared" si="0"/>
        <v>1397.1815823541726</v>
      </c>
      <c r="M7" s="335"/>
      <c r="N7" s="343"/>
      <c r="O7" s="326"/>
      <c r="P7" s="338"/>
      <c r="Q7" s="293">
        <v>2022</v>
      </c>
      <c r="R7" s="284">
        <f t="shared" si="1"/>
        <v>79774.823000000004</v>
      </c>
      <c r="S7" s="335"/>
      <c r="T7" s="343"/>
    </row>
    <row r="8" spans="1:20" x14ac:dyDescent="0.2">
      <c r="A8" s="278"/>
      <c r="B8" s="292"/>
      <c r="C8" s="293">
        <v>2027</v>
      </c>
      <c r="D8" s="284">
        <v>26570.198</v>
      </c>
      <c r="E8" s="335"/>
      <c r="F8" s="343"/>
      <c r="G8" s="326"/>
      <c r="H8" s="338"/>
      <c r="I8" s="293">
        <v>2027</v>
      </c>
      <c r="J8" s="282">
        <v>47285.254000000001</v>
      </c>
      <c r="K8" s="282">
        <v>2.8589857797397764</v>
      </c>
      <c r="L8" s="284">
        <f t="shared" si="0"/>
        <v>1351.8786877738339</v>
      </c>
      <c r="M8" s="335"/>
      <c r="N8" s="343"/>
      <c r="O8" s="326"/>
      <c r="P8" s="338"/>
      <c r="Q8" s="293">
        <v>2027</v>
      </c>
      <c r="R8" s="284">
        <f t="shared" si="1"/>
        <v>73855.452000000005</v>
      </c>
      <c r="S8" s="335"/>
      <c r="T8" s="343"/>
    </row>
    <row r="9" spans="1:20" x14ac:dyDescent="0.2">
      <c r="A9" s="278"/>
      <c r="B9" s="292"/>
      <c r="C9" s="293">
        <v>2032</v>
      </c>
      <c r="D9" s="284">
        <v>26447.948</v>
      </c>
      <c r="E9" s="335"/>
      <c r="F9" s="343"/>
      <c r="G9" s="326"/>
      <c r="H9" s="338"/>
      <c r="I9" s="293">
        <v>2032</v>
      </c>
      <c r="J9" s="282">
        <v>39761.31</v>
      </c>
      <c r="K9" s="282">
        <v>3.2438098344376529</v>
      </c>
      <c r="L9" s="284">
        <f t="shared" si="0"/>
        <v>1289.7812840812419</v>
      </c>
      <c r="M9" s="335"/>
      <c r="N9" s="343"/>
      <c r="O9" s="326"/>
      <c r="P9" s="338"/>
      <c r="Q9" s="293">
        <v>2032</v>
      </c>
      <c r="R9" s="284">
        <f t="shared" si="1"/>
        <v>66209.258000000002</v>
      </c>
      <c r="S9" s="335"/>
      <c r="T9" s="343"/>
    </row>
    <row r="10" spans="1:20" ht="13.5" thickBot="1" x14ac:dyDescent="0.25">
      <c r="A10" s="278"/>
      <c r="B10" s="297"/>
      <c r="C10" s="298">
        <v>2037</v>
      </c>
      <c r="D10" s="299">
        <v>26500.928</v>
      </c>
      <c r="E10" s="336"/>
      <c r="F10" s="344"/>
      <c r="G10" s="326"/>
      <c r="H10" s="339"/>
      <c r="I10" s="298">
        <v>2037</v>
      </c>
      <c r="J10" s="340">
        <v>32244.127</v>
      </c>
      <c r="K10" s="340">
        <v>3.4808950878281357</v>
      </c>
      <c r="L10" s="299">
        <f t="shared" si="0"/>
        <v>1122.3842328560656</v>
      </c>
      <c r="M10" s="336"/>
      <c r="N10" s="344"/>
      <c r="O10" s="326"/>
      <c r="P10" s="339"/>
      <c r="Q10" s="298">
        <v>2037</v>
      </c>
      <c r="R10" s="299">
        <f t="shared" si="1"/>
        <v>58745.055</v>
      </c>
      <c r="S10" s="336"/>
      <c r="T10" s="344"/>
    </row>
    <row r="11" spans="1:20" x14ac:dyDescent="0.2">
      <c r="A11" s="278"/>
      <c r="B11" s="302"/>
      <c r="C11" s="303"/>
      <c r="D11" s="284"/>
      <c r="E11" s="284"/>
      <c r="F11" s="279"/>
      <c r="G11" s="326"/>
      <c r="H11" s="341"/>
      <c r="I11" s="303"/>
      <c r="J11" s="284"/>
      <c r="K11" s="284"/>
      <c r="L11" s="284"/>
      <c r="M11" s="284"/>
      <c r="N11" s="279"/>
      <c r="O11" s="326"/>
      <c r="P11" s="341"/>
      <c r="Q11" s="303"/>
      <c r="R11" s="284"/>
      <c r="S11" s="284"/>
      <c r="T11" s="279"/>
    </row>
    <row r="12" spans="1:20" ht="13.5" thickBot="1" x14ac:dyDescent="0.25"/>
    <row r="13" spans="1:20" x14ac:dyDescent="0.2">
      <c r="A13" s="278"/>
      <c r="B13" s="1006" t="s">
        <v>483</v>
      </c>
      <c r="C13" s="1011"/>
      <c r="D13" s="1011"/>
      <c r="E13" s="1011"/>
      <c r="F13" s="1012"/>
      <c r="H13" s="1006" t="s">
        <v>483</v>
      </c>
      <c r="I13" s="1009"/>
      <c r="J13" s="1009"/>
      <c r="K13" s="1009"/>
      <c r="L13" s="1009"/>
      <c r="M13" s="1009"/>
      <c r="N13" s="1010"/>
      <c r="P13" s="1006" t="s">
        <v>483</v>
      </c>
      <c r="Q13" s="1011"/>
      <c r="R13" s="1011"/>
      <c r="S13" s="1011"/>
      <c r="T13" s="1012"/>
    </row>
    <row r="14" spans="1:20" ht="13.5" thickBot="1" x14ac:dyDescent="0.25">
      <c r="A14" s="278"/>
      <c r="B14" s="286" t="s">
        <v>78</v>
      </c>
      <c r="C14" s="287" t="s">
        <v>480</v>
      </c>
      <c r="D14" s="287" t="s">
        <v>377</v>
      </c>
      <c r="E14" s="290" t="s">
        <v>479</v>
      </c>
      <c r="F14" s="288" t="s">
        <v>378</v>
      </c>
      <c r="H14" s="289" t="s">
        <v>309</v>
      </c>
      <c r="I14" s="287" t="s">
        <v>480</v>
      </c>
      <c r="J14" s="287" t="s">
        <v>377</v>
      </c>
      <c r="K14" s="290" t="s">
        <v>82</v>
      </c>
      <c r="L14" s="290" t="s">
        <v>310</v>
      </c>
      <c r="M14" s="290" t="s">
        <v>479</v>
      </c>
      <c r="N14" s="291" t="s">
        <v>378</v>
      </c>
      <c r="P14" s="286" t="s">
        <v>486</v>
      </c>
      <c r="Q14" s="287" t="s">
        <v>480</v>
      </c>
      <c r="R14" s="287" t="s">
        <v>377</v>
      </c>
      <c r="S14" s="290" t="s">
        <v>479</v>
      </c>
      <c r="T14" s="288" t="s">
        <v>378</v>
      </c>
    </row>
    <row r="15" spans="1:20" x14ac:dyDescent="0.2">
      <c r="A15" s="278"/>
      <c r="B15" s="304" t="s">
        <v>92</v>
      </c>
      <c r="C15" s="305" t="s">
        <v>332</v>
      </c>
      <c r="D15" s="294">
        <v>25206.851999999999</v>
      </c>
      <c r="E15" s="296">
        <v>4</v>
      </c>
      <c r="F15" s="332">
        <f t="shared" ref="F15:F20" si="2">D15*E15</f>
        <v>100827.408</v>
      </c>
      <c r="H15" s="304" t="s">
        <v>92</v>
      </c>
      <c r="I15" s="305" t="s">
        <v>332</v>
      </c>
      <c r="J15" s="295">
        <v>60358.002999999997</v>
      </c>
      <c r="K15" s="295">
        <v>2.4778473672803769</v>
      </c>
      <c r="L15" s="296">
        <f t="shared" ref="L15:L20" si="3">(K15*J15)/100</f>
        <v>1495.5791882785106</v>
      </c>
      <c r="M15" s="296">
        <v>4</v>
      </c>
      <c r="N15" s="332">
        <f t="shared" ref="N15:N20" si="4">J15*M15</f>
        <v>241432.01199999999</v>
      </c>
      <c r="P15" s="304" t="s">
        <v>92</v>
      </c>
      <c r="Q15" s="305" t="s">
        <v>332</v>
      </c>
      <c r="R15" s="294">
        <f t="shared" ref="R15:R20" si="5">D15+J15</f>
        <v>85564.854999999996</v>
      </c>
      <c r="S15" s="296">
        <v>4</v>
      </c>
      <c r="T15" s="332">
        <f t="shared" ref="T15:T20" si="6">R15*S15</f>
        <v>342259.42</v>
      </c>
    </row>
    <row r="16" spans="1:20" x14ac:dyDescent="0.2">
      <c r="A16" s="278"/>
      <c r="B16" s="292"/>
      <c r="C16" s="293" t="s">
        <v>222</v>
      </c>
      <c r="D16" s="284">
        <v>25788.648000000001</v>
      </c>
      <c r="E16" s="285">
        <v>5</v>
      </c>
      <c r="F16" s="283">
        <f t="shared" si="2"/>
        <v>128943.24</v>
      </c>
      <c r="H16" s="292"/>
      <c r="I16" s="293" t="s">
        <v>222</v>
      </c>
      <c r="J16" s="280">
        <v>56343.733999999997</v>
      </c>
      <c r="K16" s="280">
        <v>2.4858089502887339</v>
      </c>
      <c r="L16" s="285">
        <f t="shared" si="3"/>
        <v>1400.5975826988765</v>
      </c>
      <c r="M16" s="285">
        <v>5</v>
      </c>
      <c r="N16" s="283">
        <f t="shared" si="4"/>
        <v>281718.67</v>
      </c>
      <c r="P16" s="292"/>
      <c r="Q16" s="293" t="s">
        <v>222</v>
      </c>
      <c r="R16" s="284">
        <f t="shared" si="5"/>
        <v>82132.381999999998</v>
      </c>
      <c r="S16" s="285">
        <v>5</v>
      </c>
      <c r="T16" s="283">
        <f t="shared" si="6"/>
        <v>410661.91</v>
      </c>
    </row>
    <row r="17" spans="1:20" x14ac:dyDescent="0.2">
      <c r="A17" s="278"/>
      <c r="B17" s="292"/>
      <c r="C17" s="293" t="s">
        <v>225</v>
      </c>
      <c r="D17" s="284">
        <v>25916.34</v>
      </c>
      <c r="E17" s="285">
        <v>5</v>
      </c>
      <c r="F17" s="283">
        <f t="shared" si="2"/>
        <v>129581.7</v>
      </c>
      <c r="H17" s="292"/>
      <c r="I17" s="293" t="s">
        <v>225</v>
      </c>
      <c r="J17" s="280">
        <v>49719.667999999998</v>
      </c>
      <c r="K17" s="280">
        <v>2.694468960883047</v>
      </c>
      <c r="L17" s="285">
        <f t="shared" si="3"/>
        <v>1339.6810217141008</v>
      </c>
      <c r="M17" s="285">
        <v>5</v>
      </c>
      <c r="N17" s="283">
        <f t="shared" si="4"/>
        <v>248598.34</v>
      </c>
      <c r="P17" s="292"/>
      <c r="Q17" s="293" t="s">
        <v>225</v>
      </c>
      <c r="R17" s="284">
        <f t="shared" si="5"/>
        <v>75636.008000000002</v>
      </c>
      <c r="S17" s="285">
        <v>5</v>
      </c>
      <c r="T17" s="283">
        <f t="shared" si="6"/>
        <v>378180.04000000004</v>
      </c>
    </row>
    <row r="18" spans="1:20" x14ac:dyDescent="0.2">
      <c r="A18" s="278"/>
      <c r="B18" s="292"/>
      <c r="C18" s="293" t="s">
        <v>226</v>
      </c>
      <c r="D18" s="284">
        <v>25851.19</v>
      </c>
      <c r="E18" s="285">
        <v>5</v>
      </c>
      <c r="F18" s="283">
        <f t="shared" si="2"/>
        <v>129255.95</v>
      </c>
      <c r="H18" s="292"/>
      <c r="I18" s="293" t="s">
        <v>226</v>
      </c>
      <c r="J18" s="280">
        <v>42418.332999999999</v>
      </c>
      <c r="K18" s="280">
        <v>2.99754067194629</v>
      </c>
      <c r="L18" s="285">
        <f t="shared" si="3"/>
        <v>1271.5067840366148</v>
      </c>
      <c r="M18" s="285">
        <v>5</v>
      </c>
      <c r="N18" s="283">
        <f t="shared" si="4"/>
        <v>212091.66499999998</v>
      </c>
      <c r="P18" s="292"/>
      <c r="Q18" s="293" t="s">
        <v>226</v>
      </c>
      <c r="R18" s="284">
        <f t="shared" si="5"/>
        <v>68269.523000000001</v>
      </c>
      <c r="S18" s="285">
        <v>5</v>
      </c>
      <c r="T18" s="283">
        <f t="shared" si="6"/>
        <v>341347.61499999999</v>
      </c>
    </row>
    <row r="19" spans="1:20" x14ac:dyDescent="0.2">
      <c r="A19" s="278"/>
      <c r="B19" s="292"/>
      <c r="C19" s="293" t="s">
        <v>227</v>
      </c>
      <c r="D19" s="284">
        <v>25799.938999999998</v>
      </c>
      <c r="E19" s="285">
        <v>5</v>
      </c>
      <c r="F19" s="283">
        <f t="shared" si="2"/>
        <v>128999.69499999999</v>
      </c>
      <c r="H19" s="292"/>
      <c r="I19" s="293" t="s">
        <v>227</v>
      </c>
      <c r="J19" s="280">
        <v>35035.298999999999</v>
      </c>
      <c r="K19" s="280">
        <v>3.2786599466385384</v>
      </c>
      <c r="L19" s="285">
        <f t="shared" si="3"/>
        <v>1148.6883154980524</v>
      </c>
      <c r="M19" s="285">
        <v>5</v>
      </c>
      <c r="N19" s="283">
        <f t="shared" si="4"/>
        <v>175176.495</v>
      </c>
      <c r="P19" s="292"/>
      <c r="Q19" s="293" t="s">
        <v>227</v>
      </c>
      <c r="R19" s="284">
        <f t="shared" si="5"/>
        <v>60835.237999999998</v>
      </c>
      <c r="S19" s="285">
        <v>5</v>
      </c>
      <c r="T19" s="283">
        <f t="shared" si="6"/>
        <v>304176.19</v>
      </c>
    </row>
    <row r="20" spans="1:20" ht="13.5" thickBot="1" x14ac:dyDescent="0.25">
      <c r="A20" s="278"/>
      <c r="B20" s="297"/>
      <c r="C20" s="298" t="s">
        <v>228</v>
      </c>
      <c r="D20" s="299">
        <v>25945.727999999999</v>
      </c>
      <c r="E20" s="301">
        <v>5</v>
      </c>
      <c r="F20" s="333">
        <f t="shared" si="2"/>
        <v>129728.64</v>
      </c>
      <c r="H20" s="297"/>
      <c r="I20" s="298" t="s">
        <v>228</v>
      </c>
      <c r="J20" s="300">
        <v>29809.145</v>
      </c>
      <c r="K20" s="300">
        <v>3.3486614035387512</v>
      </c>
      <c r="L20" s="301">
        <f t="shared" si="3"/>
        <v>998.20733333990154</v>
      </c>
      <c r="M20" s="301">
        <v>5</v>
      </c>
      <c r="N20" s="333">
        <f t="shared" si="4"/>
        <v>149045.72500000001</v>
      </c>
      <c r="P20" s="297"/>
      <c r="Q20" s="298" t="s">
        <v>228</v>
      </c>
      <c r="R20" s="299">
        <f t="shared" si="5"/>
        <v>55754.873</v>
      </c>
      <c r="S20" s="301">
        <v>5</v>
      </c>
      <c r="T20" s="333">
        <f t="shared" si="6"/>
        <v>278774.36499999999</v>
      </c>
    </row>
    <row r="21" spans="1:20" x14ac:dyDescent="0.2">
      <c r="A21" s="278"/>
      <c r="B21" s="302"/>
      <c r="C21" s="303"/>
      <c r="D21" s="284"/>
      <c r="E21" s="285"/>
      <c r="F21" s="279"/>
      <c r="H21" s="302"/>
      <c r="I21" s="303"/>
      <c r="J21" s="285"/>
      <c r="K21" s="285"/>
      <c r="L21" s="285"/>
      <c r="M21" s="285"/>
      <c r="N21" s="279"/>
      <c r="P21" s="302"/>
      <c r="Q21" s="303"/>
      <c r="R21" s="284"/>
      <c r="S21" s="285"/>
      <c r="T21" s="279"/>
    </row>
    <row r="22" spans="1:20" ht="13.5" thickBot="1" x14ac:dyDescent="0.25"/>
    <row r="23" spans="1:20" x14ac:dyDescent="0.2">
      <c r="A23" s="278"/>
      <c r="B23" s="1006" t="s">
        <v>484</v>
      </c>
      <c r="C23" s="1007"/>
      <c r="D23" s="1007"/>
      <c r="E23" s="1007"/>
      <c r="F23" s="1008"/>
      <c r="H23" s="1006" t="s">
        <v>484</v>
      </c>
      <c r="I23" s="1009"/>
      <c r="J23" s="1009"/>
      <c r="K23" s="1009"/>
      <c r="L23" s="1009"/>
      <c r="M23" s="1009"/>
      <c r="N23" s="1010"/>
      <c r="P23" s="1006" t="s">
        <v>484</v>
      </c>
      <c r="Q23" s="1007"/>
      <c r="R23" s="1007"/>
      <c r="S23" s="1007"/>
      <c r="T23" s="1008"/>
    </row>
    <row r="24" spans="1:20" ht="13.5" thickBot="1" x14ac:dyDescent="0.25">
      <c r="A24" s="278"/>
      <c r="B24" s="286" t="s">
        <v>78</v>
      </c>
      <c r="C24" s="287" t="s">
        <v>480</v>
      </c>
      <c r="D24" s="287" t="s">
        <v>377</v>
      </c>
      <c r="E24" s="290" t="s">
        <v>479</v>
      </c>
      <c r="F24" s="288" t="s">
        <v>378</v>
      </c>
      <c r="H24" s="289" t="s">
        <v>309</v>
      </c>
      <c r="I24" s="287" t="s">
        <v>480</v>
      </c>
      <c r="J24" s="287" t="s">
        <v>377</v>
      </c>
      <c r="K24" s="290" t="s">
        <v>82</v>
      </c>
      <c r="L24" s="290" t="s">
        <v>310</v>
      </c>
      <c r="M24" s="290" t="s">
        <v>479</v>
      </c>
      <c r="N24" s="291" t="s">
        <v>378</v>
      </c>
      <c r="P24" s="286" t="s">
        <v>486</v>
      </c>
      <c r="Q24" s="287" t="s">
        <v>480</v>
      </c>
      <c r="R24" s="287" t="s">
        <v>377</v>
      </c>
      <c r="S24" s="290" t="s">
        <v>479</v>
      </c>
      <c r="T24" s="288" t="s">
        <v>378</v>
      </c>
    </row>
    <row r="25" spans="1:20" x14ac:dyDescent="0.2">
      <c r="A25" s="278"/>
      <c r="B25" s="304" t="s">
        <v>92</v>
      </c>
      <c r="C25" s="305" t="s">
        <v>332</v>
      </c>
      <c r="D25" s="294">
        <v>1218.615</v>
      </c>
      <c r="E25" s="296">
        <v>4</v>
      </c>
      <c r="F25" s="332">
        <f t="shared" ref="F25:F30" si="7">D25*E25</f>
        <v>4874.46</v>
      </c>
      <c r="H25" s="304" t="s">
        <v>92</v>
      </c>
      <c r="I25" s="305" t="s">
        <v>332</v>
      </c>
      <c r="J25" s="295">
        <v>2181.4549999999999</v>
      </c>
      <c r="K25" s="295">
        <v>2.2712903245285849</v>
      </c>
      <c r="L25" s="296">
        <f t="shared" ref="L25:L30" si="8">(K25*J25)/100</f>
        <v>49.547176348945044</v>
      </c>
      <c r="M25" s="296">
        <v>4</v>
      </c>
      <c r="N25" s="332">
        <f t="shared" ref="N25:N30" si="9">J25*M25</f>
        <v>8725.82</v>
      </c>
      <c r="P25" s="304" t="s">
        <v>92</v>
      </c>
      <c r="Q25" s="305" t="s">
        <v>332</v>
      </c>
      <c r="R25" s="294">
        <f t="shared" ref="R25:R30" si="10">D25+J25</f>
        <v>3400.0699999999997</v>
      </c>
      <c r="S25" s="296">
        <v>4</v>
      </c>
      <c r="T25" s="332">
        <f t="shared" ref="T25:T30" si="11">R25*S25</f>
        <v>13600.279999999999</v>
      </c>
    </row>
    <row r="26" spans="1:20" x14ac:dyDescent="0.2">
      <c r="A26" s="278"/>
      <c r="B26" s="292"/>
      <c r="C26" s="293" t="s">
        <v>222</v>
      </c>
      <c r="D26" s="284">
        <v>1245.604</v>
      </c>
      <c r="E26" s="285">
        <v>5</v>
      </c>
      <c r="F26" s="283">
        <f t="shared" si="7"/>
        <v>6228.02</v>
      </c>
      <c r="H26" s="292"/>
      <c r="I26" s="293" t="s">
        <v>222</v>
      </c>
      <c r="J26" s="280">
        <v>2035.2639999999999</v>
      </c>
      <c r="K26" s="280">
        <v>2.4124181438927663</v>
      </c>
      <c r="L26" s="285">
        <f t="shared" si="8"/>
        <v>49.099078012117673</v>
      </c>
      <c r="M26" s="285">
        <v>5</v>
      </c>
      <c r="N26" s="283">
        <f t="shared" si="9"/>
        <v>10176.32</v>
      </c>
      <c r="P26" s="292"/>
      <c r="Q26" s="293" t="s">
        <v>222</v>
      </c>
      <c r="R26" s="284">
        <f t="shared" si="10"/>
        <v>3280.8679999999999</v>
      </c>
      <c r="S26" s="285">
        <v>5</v>
      </c>
      <c r="T26" s="283">
        <f t="shared" si="11"/>
        <v>16404.34</v>
      </c>
    </row>
    <row r="27" spans="1:20" x14ac:dyDescent="0.2">
      <c r="A27" s="278"/>
      <c r="B27" s="292"/>
      <c r="C27" s="293" t="s">
        <v>225</v>
      </c>
      <c r="D27" s="284">
        <v>1158.376</v>
      </c>
      <c r="E27" s="285">
        <v>5</v>
      </c>
      <c r="F27" s="283">
        <f t="shared" si="7"/>
        <v>5791.88</v>
      </c>
      <c r="H27" s="292"/>
      <c r="I27" s="293" t="s">
        <v>225</v>
      </c>
      <c r="J27" s="280">
        <v>1746.633</v>
      </c>
      <c r="K27" s="280">
        <v>2.6934111673133252</v>
      </c>
      <c r="L27" s="285">
        <f t="shared" si="8"/>
        <v>47.044008273979756</v>
      </c>
      <c r="M27" s="285">
        <v>5</v>
      </c>
      <c r="N27" s="283">
        <f t="shared" si="9"/>
        <v>8733.1650000000009</v>
      </c>
      <c r="P27" s="292"/>
      <c r="Q27" s="293" t="s">
        <v>225</v>
      </c>
      <c r="R27" s="284">
        <f t="shared" si="10"/>
        <v>2905.009</v>
      </c>
      <c r="S27" s="285">
        <v>5</v>
      </c>
      <c r="T27" s="283">
        <f t="shared" si="11"/>
        <v>14525.045</v>
      </c>
    </row>
    <row r="28" spans="1:20" x14ac:dyDescent="0.2">
      <c r="A28" s="278"/>
      <c r="B28" s="292"/>
      <c r="C28" s="293" t="s">
        <v>226</v>
      </c>
      <c r="D28" s="284">
        <v>1133.123</v>
      </c>
      <c r="E28" s="285">
        <v>5</v>
      </c>
      <c r="F28" s="283">
        <f t="shared" si="7"/>
        <v>5665.6149999999998</v>
      </c>
      <c r="H28" s="292"/>
      <c r="I28" s="293" t="s">
        <v>226</v>
      </c>
      <c r="J28" s="280">
        <v>1547.9090000000001</v>
      </c>
      <c r="K28" s="280">
        <v>2.8718246800328839</v>
      </c>
      <c r="L28" s="285">
        <f t="shared" si="8"/>
        <v>44.453232686450221</v>
      </c>
      <c r="M28" s="285">
        <v>5</v>
      </c>
      <c r="N28" s="283">
        <f t="shared" si="9"/>
        <v>7739.5450000000001</v>
      </c>
      <c r="P28" s="292"/>
      <c r="Q28" s="293" t="s">
        <v>226</v>
      </c>
      <c r="R28" s="284">
        <f t="shared" si="10"/>
        <v>2681.0320000000002</v>
      </c>
      <c r="S28" s="285">
        <v>5</v>
      </c>
      <c r="T28" s="283">
        <f t="shared" si="11"/>
        <v>13405.16</v>
      </c>
    </row>
    <row r="29" spans="1:20" x14ac:dyDescent="0.2">
      <c r="A29" s="278"/>
      <c r="B29" s="292"/>
      <c r="C29" s="293" t="s">
        <v>227</v>
      </c>
      <c r="D29" s="284">
        <v>1113.4159999999999</v>
      </c>
      <c r="E29" s="285">
        <v>5</v>
      </c>
      <c r="F29" s="283">
        <f t="shared" si="7"/>
        <v>5567.08</v>
      </c>
      <c r="H29" s="292"/>
      <c r="I29" s="293" t="s">
        <v>227</v>
      </c>
      <c r="J29" s="280">
        <v>1406.9659999999999</v>
      </c>
      <c r="K29" s="280">
        <v>2.986483809187698</v>
      </c>
      <c r="L29" s="285">
        <f t="shared" si="8"/>
        <v>42.018811790775779</v>
      </c>
      <c r="M29" s="285">
        <v>5</v>
      </c>
      <c r="N29" s="283">
        <f t="shared" si="9"/>
        <v>7034.83</v>
      </c>
      <c r="P29" s="292"/>
      <c r="Q29" s="293" t="s">
        <v>227</v>
      </c>
      <c r="R29" s="284">
        <f t="shared" si="10"/>
        <v>2520.3819999999996</v>
      </c>
      <c r="S29" s="285">
        <v>5</v>
      </c>
      <c r="T29" s="283">
        <f t="shared" si="11"/>
        <v>12601.909999999998</v>
      </c>
    </row>
    <row r="30" spans="1:20" ht="13.5" thickBot="1" x14ac:dyDescent="0.25">
      <c r="A30" s="278"/>
      <c r="B30" s="297"/>
      <c r="C30" s="298" t="s">
        <v>228</v>
      </c>
      <c r="D30" s="299">
        <v>1127.173</v>
      </c>
      <c r="E30" s="301">
        <v>5</v>
      </c>
      <c r="F30" s="333">
        <f t="shared" si="7"/>
        <v>5635.8649999999998</v>
      </c>
      <c r="H30" s="297"/>
      <c r="I30" s="298" t="s">
        <v>228</v>
      </c>
      <c r="J30" s="300">
        <v>1406.7560000000001</v>
      </c>
      <c r="K30" s="300">
        <v>2.8924658715510452</v>
      </c>
      <c r="L30" s="301">
        <f t="shared" si="8"/>
        <v>40.68993719599662</v>
      </c>
      <c r="M30" s="301">
        <v>5</v>
      </c>
      <c r="N30" s="333">
        <f t="shared" si="9"/>
        <v>7033.7800000000007</v>
      </c>
      <c r="P30" s="297"/>
      <c r="Q30" s="298" t="s">
        <v>228</v>
      </c>
      <c r="R30" s="299">
        <f t="shared" si="10"/>
        <v>2533.9290000000001</v>
      </c>
      <c r="S30" s="301">
        <v>5</v>
      </c>
      <c r="T30" s="333">
        <f t="shared" si="11"/>
        <v>12669.645</v>
      </c>
    </row>
    <row r="32" spans="1:20" ht="13.5" thickBot="1" x14ac:dyDescent="0.25"/>
    <row r="33" spans="1:20" x14ac:dyDescent="0.2">
      <c r="A33" s="278"/>
      <c r="B33" s="1006" t="s">
        <v>485</v>
      </c>
      <c r="C33" s="1007"/>
      <c r="D33" s="1007"/>
      <c r="E33" s="1007"/>
      <c r="F33" s="1008"/>
      <c r="H33" s="1006" t="s">
        <v>485</v>
      </c>
      <c r="I33" s="1009"/>
      <c r="J33" s="1009"/>
      <c r="K33" s="1009"/>
      <c r="L33" s="1009"/>
      <c r="M33" s="1009"/>
      <c r="N33" s="1010"/>
      <c r="P33" s="1006" t="s">
        <v>485</v>
      </c>
      <c r="Q33" s="1007"/>
      <c r="R33" s="1007"/>
      <c r="S33" s="1007"/>
      <c r="T33" s="1008"/>
    </row>
    <row r="34" spans="1:20" ht="13.5" thickBot="1" x14ac:dyDescent="0.25">
      <c r="A34" s="278"/>
      <c r="B34" s="286" t="s">
        <v>78</v>
      </c>
      <c r="C34" s="287" t="s">
        <v>480</v>
      </c>
      <c r="D34" s="287" t="s">
        <v>377</v>
      </c>
      <c r="E34" s="290" t="s">
        <v>479</v>
      </c>
      <c r="F34" s="288" t="s">
        <v>378</v>
      </c>
      <c r="H34" s="289" t="s">
        <v>309</v>
      </c>
      <c r="I34" s="287" t="s">
        <v>480</v>
      </c>
      <c r="J34" s="287" t="s">
        <v>377</v>
      </c>
      <c r="K34" s="290" t="s">
        <v>82</v>
      </c>
      <c r="L34" s="290" t="s">
        <v>310</v>
      </c>
      <c r="M34" s="290" t="s">
        <v>479</v>
      </c>
      <c r="N34" s="291" t="s">
        <v>378</v>
      </c>
      <c r="P34" s="286" t="s">
        <v>486</v>
      </c>
      <c r="Q34" s="287" t="s">
        <v>480</v>
      </c>
      <c r="R34" s="287" t="s">
        <v>377</v>
      </c>
      <c r="S34" s="290" t="s">
        <v>479</v>
      </c>
      <c r="T34" s="288" t="s">
        <v>378</v>
      </c>
    </row>
    <row r="35" spans="1:20" x14ac:dyDescent="0.2">
      <c r="A35" s="278"/>
      <c r="B35" s="304" t="s">
        <v>92</v>
      </c>
      <c r="C35" s="305" t="s">
        <v>332</v>
      </c>
      <c r="D35" s="294">
        <v>1357.6379999999999</v>
      </c>
      <c r="E35" s="296">
        <v>4</v>
      </c>
      <c r="F35" s="332">
        <f t="shared" ref="F35:F40" si="12">D35*E35</f>
        <v>5430.5519999999997</v>
      </c>
      <c r="H35" s="304" t="s">
        <v>92</v>
      </c>
      <c r="I35" s="305" t="s">
        <v>332</v>
      </c>
      <c r="J35" s="295">
        <v>2957.9369999999999</v>
      </c>
      <c r="K35" s="295">
        <v>4.9175326735365372</v>
      </c>
      <c r="L35" s="296">
        <f t="shared" ref="L35:L40" si="13">(K35*J35)/100</f>
        <v>145.45751843762645</v>
      </c>
      <c r="M35" s="296">
        <v>4</v>
      </c>
      <c r="N35" s="332">
        <f t="shared" ref="N35:N40" si="14">J35*M35</f>
        <v>11831.748</v>
      </c>
      <c r="P35" s="304" t="s">
        <v>92</v>
      </c>
      <c r="Q35" s="305" t="s">
        <v>332</v>
      </c>
      <c r="R35" s="294">
        <f t="shared" ref="R35:R40" si="15">D35+J35</f>
        <v>4315.5749999999998</v>
      </c>
      <c r="S35" s="296">
        <v>4</v>
      </c>
      <c r="T35" s="332">
        <f t="shared" ref="T35:T40" si="16">R35*S35</f>
        <v>17262.3</v>
      </c>
    </row>
    <row r="36" spans="1:20" x14ac:dyDescent="0.2">
      <c r="A36" s="278"/>
      <c r="B36" s="292"/>
      <c r="C36" s="293" t="s">
        <v>222</v>
      </c>
      <c r="D36" s="284">
        <v>1151.4490000000001</v>
      </c>
      <c r="E36" s="285">
        <v>5</v>
      </c>
      <c r="F36" s="283">
        <f t="shared" si="12"/>
        <v>5757.2450000000008</v>
      </c>
      <c r="H36" s="292"/>
      <c r="I36" s="293" t="s">
        <v>222</v>
      </c>
      <c r="J36" s="280">
        <v>3264.904</v>
      </c>
      <c r="K36" s="280">
        <v>4.7723267050589984</v>
      </c>
      <c r="L36" s="285">
        <f t="shared" si="13"/>
        <v>155.81188548653944</v>
      </c>
      <c r="M36" s="285">
        <v>5</v>
      </c>
      <c r="N36" s="283">
        <f t="shared" si="14"/>
        <v>16324.52</v>
      </c>
      <c r="P36" s="292"/>
      <c r="Q36" s="293" t="s">
        <v>222</v>
      </c>
      <c r="R36" s="284">
        <f t="shared" si="15"/>
        <v>4416.3530000000001</v>
      </c>
      <c r="S36" s="285">
        <v>5</v>
      </c>
      <c r="T36" s="283">
        <f t="shared" si="16"/>
        <v>22081.764999999999</v>
      </c>
    </row>
    <row r="37" spans="1:20" x14ac:dyDescent="0.2">
      <c r="A37" s="278"/>
      <c r="B37" s="292"/>
      <c r="C37" s="293" t="s">
        <v>225</v>
      </c>
      <c r="D37" s="284">
        <v>1122.9359999999999</v>
      </c>
      <c r="E37" s="285">
        <v>5</v>
      </c>
      <c r="F37" s="283">
        <f t="shared" si="12"/>
        <v>5614.6799999999994</v>
      </c>
      <c r="H37" s="292"/>
      <c r="I37" s="293" t="s">
        <v>225</v>
      </c>
      <c r="J37" s="280">
        <v>2956.4490000000001</v>
      </c>
      <c r="K37" s="280">
        <v>5.0877422572868625</v>
      </c>
      <c r="L37" s="285">
        <f t="shared" si="13"/>
        <v>150.41650508813487</v>
      </c>
      <c r="M37" s="285">
        <v>5</v>
      </c>
      <c r="N37" s="283">
        <f t="shared" si="14"/>
        <v>14782.245000000001</v>
      </c>
      <c r="P37" s="292"/>
      <c r="Q37" s="293" t="s">
        <v>225</v>
      </c>
      <c r="R37" s="284">
        <f t="shared" si="15"/>
        <v>4079.3850000000002</v>
      </c>
      <c r="S37" s="285">
        <v>5</v>
      </c>
      <c r="T37" s="283">
        <f t="shared" si="16"/>
        <v>20396.925000000003</v>
      </c>
    </row>
    <row r="38" spans="1:20" x14ac:dyDescent="0.2">
      <c r="A38" s="278"/>
      <c r="B38" s="292"/>
      <c r="C38" s="293" t="s">
        <v>226</v>
      </c>
      <c r="D38" s="284">
        <v>1146.115</v>
      </c>
      <c r="E38" s="285">
        <v>5</v>
      </c>
      <c r="F38" s="283">
        <f t="shared" si="12"/>
        <v>5730.5749999999998</v>
      </c>
      <c r="H38" s="292"/>
      <c r="I38" s="293" t="s">
        <v>226</v>
      </c>
      <c r="J38" s="280">
        <v>3052.6990000000001</v>
      </c>
      <c r="K38" s="280">
        <v>5.1812754658331821</v>
      </c>
      <c r="L38" s="285">
        <f t="shared" si="13"/>
        <v>158.16874433273489</v>
      </c>
      <c r="M38" s="285">
        <v>5</v>
      </c>
      <c r="N38" s="283">
        <f t="shared" si="14"/>
        <v>15263.495000000001</v>
      </c>
      <c r="P38" s="292"/>
      <c r="Q38" s="293" t="s">
        <v>226</v>
      </c>
      <c r="R38" s="284">
        <f t="shared" si="15"/>
        <v>4198.8140000000003</v>
      </c>
      <c r="S38" s="285">
        <v>5</v>
      </c>
      <c r="T38" s="283">
        <f t="shared" si="16"/>
        <v>20994.07</v>
      </c>
    </row>
    <row r="39" spans="1:20" x14ac:dyDescent="0.2">
      <c r="A39" s="278"/>
      <c r="B39" s="292"/>
      <c r="C39" s="293" t="s">
        <v>227</v>
      </c>
      <c r="D39" s="284">
        <v>1094.79</v>
      </c>
      <c r="E39" s="285">
        <v>5</v>
      </c>
      <c r="F39" s="283">
        <f t="shared" si="12"/>
        <v>5473.95</v>
      </c>
      <c r="H39" s="292"/>
      <c r="I39" s="293" t="s">
        <v>227</v>
      </c>
      <c r="J39" s="280">
        <v>2910.4050000000002</v>
      </c>
      <c r="K39" s="280">
        <v>5.8810833804531484</v>
      </c>
      <c r="L39" s="285">
        <f t="shared" si="13"/>
        <v>171.16334475887746</v>
      </c>
      <c r="M39" s="285">
        <v>5</v>
      </c>
      <c r="N39" s="283">
        <f t="shared" si="14"/>
        <v>14552.025000000001</v>
      </c>
      <c r="P39" s="292"/>
      <c r="Q39" s="293" t="s">
        <v>227</v>
      </c>
      <c r="R39" s="284">
        <f t="shared" si="15"/>
        <v>4005.1950000000002</v>
      </c>
      <c r="S39" s="285">
        <v>5</v>
      </c>
      <c r="T39" s="283">
        <f t="shared" si="16"/>
        <v>20025.975000000002</v>
      </c>
    </row>
    <row r="40" spans="1:20" ht="13.5" thickBot="1" x14ac:dyDescent="0.25">
      <c r="A40" s="278"/>
      <c r="B40" s="297"/>
      <c r="C40" s="298" t="s">
        <v>228</v>
      </c>
      <c r="D40" s="299">
        <v>1100.3589999999999</v>
      </c>
      <c r="E40" s="301">
        <v>5</v>
      </c>
      <c r="F40" s="333">
        <f t="shared" si="12"/>
        <v>5501.7950000000001</v>
      </c>
      <c r="H40" s="297"/>
      <c r="I40" s="298" t="s">
        <v>228</v>
      </c>
      <c r="J40" s="300">
        <v>2272.7440000000001</v>
      </c>
      <c r="K40" s="300">
        <v>6.3794291254089313</v>
      </c>
      <c r="L40" s="301">
        <f t="shared" si="13"/>
        <v>144.98809268198397</v>
      </c>
      <c r="M40" s="301">
        <v>5</v>
      </c>
      <c r="N40" s="333">
        <f t="shared" si="14"/>
        <v>11363.720000000001</v>
      </c>
      <c r="P40" s="297"/>
      <c r="Q40" s="298" t="s">
        <v>228</v>
      </c>
      <c r="R40" s="299">
        <f t="shared" si="15"/>
        <v>3373.1030000000001</v>
      </c>
      <c r="S40" s="301">
        <v>5</v>
      </c>
      <c r="T40" s="333">
        <f t="shared" si="16"/>
        <v>16865.514999999999</v>
      </c>
    </row>
    <row r="41" spans="1:20" x14ac:dyDescent="0.2">
      <c r="A41" s="278"/>
      <c r="B41" s="302"/>
      <c r="C41" s="303"/>
      <c r="D41" s="284"/>
      <c r="E41" s="285"/>
      <c r="F41" s="279"/>
      <c r="H41" s="302"/>
      <c r="I41" s="303"/>
      <c r="J41" s="285"/>
      <c r="K41" s="285"/>
      <c r="L41" s="285"/>
      <c r="M41" s="285"/>
      <c r="N41" s="279"/>
      <c r="P41" s="302"/>
      <c r="Q41" s="303"/>
      <c r="R41" s="284"/>
      <c r="S41" s="285"/>
      <c r="T41" s="279"/>
    </row>
    <row r="42" spans="1:20" x14ac:dyDescent="0.2">
      <c r="A42" s="278"/>
    </row>
  </sheetData>
  <mergeCells count="12">
    <mergeCell ref="H3:N3"/>
    <mergeCell ref="B3:F3"/>
    <mergeCell ref="P3:T3"/>
    <mergeCell ref="B13:F13"/>
    <mergeCell ref="H13:N13"/>
    <mergeCell ref="P13:T13"/>
    <mergeCell ref="B23:F23"/>
    <mergeCell ref="H23:N23"/>
    <mergeCell ref="P23:T23"/>
    <mergeCell ref="B33:F33"/>
    <mergeCell ref="H33:N33"/>
    <mergeCell ref="P33:T33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916</v>
      </c>
      <c r="C3" t="s">
        <v>433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13 data'!$Q$13</f>
        <v>46.963000000000001</v>
      </c>
      <c r="D8" s="829">
        <f>'Section 13 data'!$R$13</f>
        <v>178.214</v>
      </c>
      <c r="E8" s="205">
        <f>'Section 13 data'!$S$13</f>
        <v>41.897002922678148</v>
      </c>
      <c r="F8" s="822">
        <f>SUM(C8,D8)</f>
        <v>225.17699999999999</v>
      </c>
    </row>
    <row r="9" spans="2:6" ht="15" customHeight="1" x14ac:dyDescent="0.2">
      <c r="B9" s="82" t="s">
        <v>336</v>
      </c>
      <c r="C9" s="67">
        <f>'Section 13 data'!$Q$14</f>
        <v>743.899</v>
      </c>
      <c r="D9" s="829">
        <f>'Section 13 data'!$R$14</f>
        <v>23721.716</v>
      </c>
      <c r="E9" s="205">
        <f>'Section 13 data'!$S$14</f>
        <v>8.3229264068652586</v>
      </c>
      <c r="F9" s="822">
        <f t="shared" ref="F9:F15" si="0">SUM(C9,D9)</f>
        <v>24465.615000000002</v>
      </c>
    </row>
    <row r="10" spans="2:6" ht="15" customHeight="1" x14ac:dyDescent="0.2">
      <c r="B10" s="81" t="s">
        <v>337</v>
      </c>
      <c r="C10" s="67">
        <f>'Section 13 data'!$Q$15</f>
        <v>4245.4740000000002</v>
      </c>
      <c r="D10" s="829">
        <f>'Section 13 data'!$R$15</f>
        <v>28044.219000000001</v>
      </c>
      <c r="E10" s="205">
        <f>'Section 13 data'!$S$15</f>
        <v>6.2263216088647519</v>
      </c>
      <c r="F10" s="822">
        <f t="shared" si="0"/>
        <v>32289.692999999999</v>
      </c>
    </row>
    <row r="11" spans="2:6" ht="15" customHeight="1" x14ac:dyDescent="0.2">
      <c r="B11" s="81" t="s">
        <v>338</v>
      </c>
      <c r="C11" s="67">
        <f>'Section 13 data'!$Q$16</f>
        <v>2196.0239999999999</v>
      </c>
      <c r="D11" s="829">
        <f>'Section 13 data'!$R$16</f>
        <v>12772.065000000001</v>
      </c>
      <c r="E11" s="205">
        <f>'Section 13 data'!$S$16</f>
        <v>8.6498760271934749</v>
      </c>
      <c r="F11" s="822">
        <f t="shared" si="0"/>
        <v>14968.089</v>
      </c>
    </row>
    <row r="12" spans="2:6" ht="15" customHeight="1" x14ac:dyDescent="0.2">
      <c r="B12" s="81" t="s">
        <v>339</v>
      </c>
      <c r="C12" s="67">
        <f>'Section 13 data'!$Q$17</f>
        <v>2817.2869999999998</v>
      </c>
      <c r="D12" s="829">
        <f>'Section 13 data'!$R$17</f>
        <v>9973.741</v>
      </c>
      <c r="E12" s="205">
        <f>'Section 13 data'!$S$17</f>
        <v>8.1021500172427618</v>
      </c>
      <c r="F12" s="822">
        <f t="shared" si="0"/>
        <v>12791.028</v>
      </c>
    </row>
    <row r="13" spans="2:6" ht="15" customHeight="1" x14ac:dyDescent="0.2">
      <c r="B13" s="81" t="s">
        <v>340</v>
      </c>
      <c r="C13" s="67">
        <f>'Section 13 data'!$Q$18</f>
        <v>1244.578</v>
      </c>
      <c r="D13" s="829">
        <f>'Section 13 data'!$R$18</f>
        <v>10599.692999999999</v>
      </c>
      <c r="E13" s="205">
        <f>'Section 13 data'!$S$18</f>
        <v>7.1309223972686047</v>
      </c>
      <c r="F13" s="822">
        <f t="shared" si="0"/>
        <v>11844.270999999999</v>
      </c>
    </row>
    <row r="14" spans="2:6" ht="15" customHeight="1" x14ac:dyDescent="0.2">
      <c r="B14" s="81" t="s">
        <v>268</v>
      </c>
      <c r="C14" s="67">
        <f>'Section 13 data'!$Q$19</f>
        <v>5586.9950000000008</v>
      </c>
      <c r="D14" s="829">
        <f>'Section 13 data'!$R$19</f>
        <v>6155.982</v>
      </c>
      <c r="E14" s="205">
        <f>'Section 13 data'!$S$19</f>
        <v>6.8152813965837193</v>
      </c>
      <c r="F14" s="822">
        <f t="shared" si="0"/>
        <v>11742.977000000001</v>
      </c>
    </row>
    <row r="15" spans="2:6" ht="15" customHeight="1" x14ac:dyDescent="0.2">
      <c r="B15" s="83" t="s">
        <v>80</v>
      </c>
      <c r="C15" s="830">
        <f>'Eng Table 24'!C18</f>
        <v>16920.057000000001</v>
      </c>
      <c r="D15" s="830">
        <f>'Eng Table 24'!D18</f>
        <v>91445.638999999996</v>
      </c>
      <c r="E15" s="321">
        <f>'Eng Table 24'!E18</f>
        <v>3.4430090989665878</v>
      </c>
      <c r="F15" s="831">
        <f t="shared" si="0"/>
        <v>108365.696</v>
      </c>
    </row>
    <row r="17" spans="4:4" ht="15" customHeight="1" x14ac:dyDescent="0.2">
      <c r="D17" s="563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0E52EF-BE72-4C9E-B324-D9456ACFDF1E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82B49F52-E8CA-48F4-868E-A59570C86E5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917</v>
      </c>
      <c r="C3" t="s">
        <v>432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70"/>
      <c r="F7" s="71"/>
    </row>
    <row r="8" spans="2:6" ht="15" customHeight="1" x14ac:dyDescent="0.2">
      <c r="B8" s="78" t="s">
        <v>341</v>
      </c>
      <c r="C8" s="823">
        <f>'Section 13 data'!$Q$24</f>
        <v>1248.7090000000001</v>
      </c>
      <c r="D8" s="824">
        <f>'Section 13 data'!$R$24</f>
        <v>13362.86</v>
      </c>
      <c r="E8" s="205">
        <f>'Section 13 data'!$S$24</f>
        <v>11.172646611169833</v>
      </c>
      <c r="F8" s="825">
        <f>SUM(C8,D8)</f>
        <v>14611.569000000001</v>
      </c>
    </row>
    <row r="9" spans="2:6" ht="15" customHeight="1" x14ac:dyDescent="0.2">
      <c r="B9" s="79" t="s">
        <v>342</v>
      </c>
      <c r="C9" s="823">
        <f>'Section 13 data'!$Q$25</f>
        <v>4697.5730000000003</v>
      </c>
      <c r="D9" s="824">
        <f>'Section 13 data'!$R$25</f>
        <v>15763.936</v>
      </c>
      <c r="E9" s="205">
        <f>'Section 13 data'!$S$25</f>
        <v>10.582555893648788</v>
      </c>
      <c r="F9" s="825">
        <f t="shared" ref="F9:F17" si="0">SUM(C9,D9)</f>
        <v>20461.508999999998</v>
      </c>
    </row>
    <row r="10" spans="2:6" ht="15" customHeight="1" x14ac:dyDescent="0.2">
      <c r="B10" s="80" t="s">
        <v>343</v>
      </c>
      <c r="C10" s="823">
        <f>'Section 13 data'!$Q$26</f>
        <v>1937.2550000000001</v>
      </c>
      <c r="D10" s="824">
        <f>'Section 13 data'!$R$26</f>
        <v>14528.135</v>
      </c>
      <c r="E10" s="205">
        <f>'Section 13 data'!$S$26</f>
        <v>9.416406278439414</v>
      </c>
      <c r="F10" s="825">
        <f t="shared" si="0"/>
        <v>16465.39</v>
      </c>
    </row>
    <row r="11" spans="2:6" ht="15" customHeight="1" x14ac:dyDescent="0.2">
      <c r="B11" s="78" t="s">
        <v>344</v>
      </c>
      <c r="C11" s="823">
        <f>'Section 13 data'!$Q$27</f>
        <v>2888.6889999999999</v>
      </c>
      <c r="D11" s="824">
        <f>'Section 13 data'!$R$27</f>
        <v>8970.9940000000006</v>
      </c>
      <c r="E11" s="205">
        <f>'Section 13 data'!$S$27</f>
        <v>10.593353943681691</v>
      </c>
      <c r="F11" s="825">
        <f t="shared" si="0"/>
        <v>11859.683000000001</v>
      </c>
    </row>
    <row r="12" spans="2:6" ht="15" customHeight="1" x14ac:dyDescent="0.2">
      <c r="B12" s="78" t="s">
        <v>345</v>
      </c>
      <c r="C12" s="823">
        <f>'Section 13 data'!$Q$28</f>
        <v>5379.9080000000004</v>
      </c>
      <c r="D12" s="824">
        <f>'Section 13 data'!$R$28</f>
        <v>13944.032999999999</v>
      </c>
      <c r="E12" s="205">
        <f>'Section 13 data'!$S$28</f>
        <v>7.8343038565651151</v>
      </c>
      <c r="F12" s="825">
        <f t="shared" si="0"/>
        <v>19323.940999999999</v>
      </c>
    </row>
    <row r="13" spans="2:6" ht="15" customHeight="1" x14ac:dyDescent="0.2">
      <c r="B13" s="78" t="s">
        <v>346</v>
      </c>
      <c r="C13" s="823">
        <f>'Section 13 data'!$Q$29</f>
        <v>541.12099999999998</v>
      </c>
      <c r="D13" s="824">
        <f>'Section 13 data'!$R$29</f>
        <v>6532.4579999999996</v>
      </c>
      <c r="E13" s="205">
        <f>'Section 13 data'!$S$29</f>
        <v>9.8764344723380493</v>
      </c>
      <c r="F13" s="825">
        <f t="shared" si="0"/>
        <v>7073.5789999999997</v>
      </c>
    </row>
    <row r="14" spans="2:6" ht="15" customHeight="1" x14ac:dyDescent="0.2">
      <c r="B14" s="78" t="s">
        <v>347</v>
      </c>
      <c r="C14" s="823">
        <f>'Section 13 data'!$Q$30</f>
        <v>207.11</v>
      </c>
      <c r="D14" s="824">
        <f>'Section 13 data'!$R$30</f>
        <v>8023.6409999999996</v>
      </c>
      <c r="E14" s="205">
        <f>'Section 13 data'!$S$30</f>
        <v>6.245231578736635</v>
      </c>
      <c r="F14" s="825">
        <f t="shared" si="0"/>
        <v>8230.7510000000002</v>
      </c>
    </row>
    <row r="15" spans="2:6" ht="15" customHeight="1" x14ac:dyDescent="0.2">
      <c r="B15" s="78" t="s">
        <v>348</v>
      </c>
      <c r="C15" s="823">
        <f>'Section 13 data'!$Q$31</f>
        <v>18.62</v>
      </c>
      <c r="D15" s="824">
        <f>'Section 13 data'!$R$31</f>
        <v>2535.4760000000001</v>
      </c>
      <c r="E15" s="205">
        <f>'Section 13 data'!$S$31</f>
        <v>9.8230476174374708</v>
      </c>
      <c r="F15" s="825">
        <f t="shared" si="0"/>
        <v>2554.096</v>
      </c>
    </row>
    <row r="16" spans="2:6" ht="15" customHeight="1" x14ac:dyDescent="0.2">
      <c r="B16" s="78" t="s">
        <v>270</v>
      </c>
      <c r="C16" s="823">
        <f>'Section 13 data'!$Q$32</f>
        <v>1.0740000000000001</v>
      </c>
      <c r="D16" s="824">
        <f>'Section 13 data'!$R$32</f>
        <v>915.86300000000006</v>
      </c>
      <c r="E16" s="205">
        <f>'Section 13 data'!$S$32</f>
        <v>16.383876749514595</v>
      </c>
      <c r="F16" s="825">
        <f t="shared" si="0"/>
        <v>916.93700000000001</v>
      </c>
    </row>
    <row r="17" spans="2:6" ht="15" customHeight="1" x14ac:dyDescent="0.2">
      <c r="B17" s="72" t="s">
        <v>80</v>
      </c>
      <c r="C17" s="87">
        <f>'Eng Table 24'!C18</f>
        <v>16920.057000000001</v>
      </c>
      <c r="D17" s="87">
        <f>'Eng Table 24'!D18</f>
        <v>91445.638999999996</v>
      </c>
      <c r="E17" s="321">
        <f>'Eng Table 24'!E18</f>
        <v>3.4430090989665878</v>
      </c>
      <c r="F17" s="87">
        <f t="shared" si="0"/>
        <v>108365.696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C147589-FBFD-4669-AA6B-C208AED44D13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616077BF-F198-4CCB-8E8B-D51B5DF611EB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918</v>
      </c>
      <c r="C3" t="s">
        <v>919</v>
      </c>
    </row>
    <row r="5" spans="2:12" ht="15" customHeight="1" x14ac:dyDescent="0.2">
      <c r="B5" s="1070" t="s">
        <v>738</v>
      </c>
      <c r="C5" s="1141" t="s">
        <v>385</v>
      </c>
      <c r="D5" s="1141"/>
      <c r="E5" s="1141"/>
      <c r="F5" s="1133"/>
      <c r="H5" s="1070" t="s">
        <v>738</v>
      </c>
      <c r="I5" s="1021" t="s">
        <v>274</v>
      </c>
      <c r="J5" s="1089"/>
      <c r="K5" s="1089"/>
      <c r="L5" s="1018"/>
    </row>
    <row r="6" spans="2:12" ht="45" customHeight="1" x14ac:dyDescent="0.2">
      <c r="B6" s="1153"/>
      <c r="C6" s="644" t="s">
        <v>78</v>
      </c>
      <c r="D6" s="1154" t="s">
        <v>79</v>
      </c>
      <c r="E6" s="1154"/>
      <c r="F6" s="643" t="s">
        <v>275</v>
      </c>
      <c r="H6" s="1153"/>
      <c r="I6" s="642" t="s">
        <v>276</v>
      </c>
      <c r="J6" s="641" t="s">
        <v>277</v>
      </c>
      <c r="K6" s="641" t="s">
        <v>743</v>
      </c>
      <c r="L6" s="640" t="s">
        <v>744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598" t="s">
        <v>81</v>
      </c>
      <c r="J7" s="597" t="s">
        <v>81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39">
        <f>'Section 13 data country'!$C$62</f>
        <v>15.691970000000001</v>
      </c>
      <c r="D8" s="639">
        <f>'Section 13 data country'!$D$62</f>
        <v>150.71477000000002</v>
      </c>
      <c r="E8" s="638">
        <f>'Section 13 data country'!$E$62</f>
        <v>2.5538579194905484</v>
      </c>
      <c r="F8" s="637">
        <f>SUM(C8,D8)</f>
        <v>166.40674000000001</v>
      </c>
      <c r="G8" s="25"/>
      <c r="H8" s="636" t="s">
        <v>721</v>
      </c>
      <c r="I8" s="53">
        <f>'Section 13 data country'!$G$43</f>
        <v>892.49155999999994</v>
      </c>
      <c r="J8" s="54">
        <f>'Section 13 data country'!$G$5</f>
        <v>1197.5455499999998</v>
      </c>
      <c r="K8" s="55">
        <f>IF(I8=0,0,100*F8/I8)</f>
        <v>18.645189204926492</v>
      </c>
      <c r="L8" s="56">
        <f>IF(J8=0,0,100*F8/J8)</f>
        <v>13.895650148756349</v>
      </c>
    </row>
    <row r="9" spans="2:12" ht="15" customHeight="1" x14ac:dyDescent="0.2">
      <c r="B9" s="632" t="s">
        <v>286</v>
      </c>
      <c r="C9" s="635">
        <f>'Section 13 data country'!$C$63</f>
        <v>0.44222</v>
      </c>
      <c r="D9" s="635">
        <f>'Section 13 data country'!$D$63</f>
        <v>9.4887999999999995</v>
      </c>
      <c r="E9" s="634">
        <f>'Section 13 data country'!$E$63</f>
        <v>8.6999999999999993</v>
      </c>
      <c r="F9" s="633">
        <f t="shared" ref="F9:F22" si="0">SUM(C9,D9)</f>
        <v>9.9310200000000002</v>
      </c>
      <c r="G9" s="25"/>
      <c r="H9" s="632" t="s">
        <v>286</v>
      </c>
      <c r="I9" s="631">
        <f>'Section 13 data country'!$G$44</f>
        <v>44.848480000000002</v>
      </c>
      <c r="J9" s="630">
        <f>'Section 13 data country'!$G$6</f>
        <v>76.154820000000001</v>
      </c>
      <c r="K9" s="629">
        <f t="shared" ref="K9:K22" si="1">IF(I9=0,0,100*F9/I9)</f>
        <v>22.143492934431666</v>
      </c>
      <c r="L9" s="628">
        <f t="shared" ref="L9:L22" si="2">IF(J9=0,0,100*F9/J9)</f>
        <v>13.040566572148682</v>
      </c>
    </row>
    <row r="10" spans="2:12" ht="15" customHeight="1" x14ac:dyDescent="0.2">
      <c r="B10" s="632" t="s">
        <v>298</v>
      </c>
      <c r="C10" s="635">
        <f>'Section 13 data country'!$C$64</f>
        <v>0.30352999999999997</v>
      </c>
      <c r="D10" s="635">
        <f>'Section 13 data country'!$D$64</f>
        <v>15.61627</v>
      </c>
      <c r="E10" s="634">
        <f>'Section 13 data country'!$E$64</f>
        <v>7.07</v>
      </c>
      <c r="F10" s="633">
        <f t="shared" si="0"/>
        <v>15.9198</v>
      </c>
      <c r="G10" s="25"/>
      <c r="H10" s="632" t="s">
        <v>298</v>
      </c>
      <c r="I10" s="631">
        <f>'Section 13 data country'!$G$45</f>
        <v>81.728650000000002</v>
      </c>
      <c r="J10" s="630">
        <f>'Section 13 data country'!$G$7</f>
        <v>106.67646000000002</v>
      </c>
      <c r="K10" s="629">
        <f t="shared" si="1"/>
        <v>19.478848604497934</v>
      </c>
      <c r="L10" s="628">
        <f t="shared" si="2"/>
        <v>14.923442341450023</v>
      </c>
    </row>
    <row r="11" spans="2:12" ht="15" customHeight="1" x14ac:dyDescent="0.2">
      <c r="B11" s="632" t="s">
        <v>287</v>
      </c>
      <c r="C11" s="635">
        <f>'Section 13 data country'!$C$65</f>
        <v>0.87666999999999995</v>
      </c>
      <c r="D11" s="635">
        <f>'Section 13 data country'!$D$65</f>
        <v>16.81296</v>
      </c>
      <c r="E11" s="634">
        <f>'Section 13 data country'!$E$65</f>
        <v>8.44</v>
      </c>
      <c r="F11" s="633">
        <f t="shared" si="0"/>
        <v>17.689630000000001</v>
      </c>
      <c r="G11" s="25"/>
      <c r="H11" s="632" t="s">
        <v>287</v>
      </c>
      <c r="I11" s="631">
        <f>'Section 13 data country'!$G$46</f>
        <v>90.858959999999996</v>
      </c>
      <c r="J11" s="630">
        <f>'Section 13 data country'!$G$8</f>
        <v>124.23294000000001</v>
      </c>
      <c r="K11" s="629">
        <f t="shared" si="1"/>
        <v>19.469329166875784</v>
      </c>
      <c r="L11" s="628">
        <f t="shared" si="2"/>
        <v>14.239081840935263</v>
      </c>
    </row>
    <row r="12" spans="2:12" ht="15" customHeight="1" x14ac:dyDescent="0.2">
      <c r="B12" s="632" t="s">
        <v>288</v>
      </c>
      <c r="C12" s="635">
        <f>'Section 13 data country'!$C$66</f>
        <v>0.17448</v>
      </c>
      <c r="D12" s="635">
        <f>'Section 13 data country'!$D$66</f>
        <v>7.4666600000000001</v>
      </c>
      <c r="E12" s="634">
        <f>'Section 13 data country'!$E$66</f>
        <v>13.32</v>
      </c>
      <c r="F12" s="633">
        <f t="shared" si="0"/>
        <v>7.64114</v>
      </c>
      <c r="G12" s="25"/>
      <c r="H12" s="632" t="s">
        <v>288</v>
      </c>
      <c r="I12" s="631">
        <f>'Section 13 data country'!$G$47</f>
        <v>39.05968</v>
      </c>
      <c r="J12" s="630">
        <f>'Section 13 data country'!$G$9</f>
        <v>51.166460000000001</v>
      </c>
      <c r="K12" s="629">
        <f t="shared" si="1"/>
        <v>19.562730672652719</v>
      </c>
      <c r="L12" s="628">
        <f t="shared" si="2"/>
        <v>14.933884423507118</v>
      </c>
    </row>
    <row r="13" spans="2:12" ht="15" customHeight="1" x14ac:dyDescent="0.2">
      <c r="B13" s="632" t="s">
        <v>301</v>
      </c>
      <c r="C13" s="635">
        <f>'Section 13 data country'!$C$67</f>
        <v>5.3190000000000001E-2</v>
      </c>
      <c r="D13" s="635">
        <f>'Section 13 data country'!$D$67</f>
        <v>3.8771300000000002</v>
      </c>
      <c r="E13" s="634">
        <f>'Section 13 data country'!$E$67</f>
        <v>23.41</v>
      </c>
      <c r="F13" s="633">
        <f t="shared" si="0"/>
        <v>3.93032</v>
      </c>
      <c r="G13" s="25"/>
      <c r="H13" s="632" t="s">
        <v>301</v>
      </c>
      <c r="I13" s="631">
        <f>'Section 13 data country'!$G$48</f>
        <v>24.24953</v>
      </c>
      <c r="J13" s="630">
        <f>'Section 13 data country'!$G$10</f>
        <v>26.89772</v>
      </c>
      <c r="K13" s="629">
        <f t="shared" si="1"/>
        <v>16.207819285569659</v>
      </c>
      <c r="L13" s="628">
        <f t="shared" si="2"/>
        <v>14.612093515732932</v>
      </c>
    </row>
    <row r="14" spans="2:12" ht="15" customHeight="1" x14ac:dyDescent="0.2">
      <c r="B14" s="632" t="s">
        <v>302</v>
      </c>
      <c r="C14" s="635">
        <f>'Section 13 data country'!$C$68</f>
        <v>4.9860000000000002E-2</v>
      </c>
      <c r="D14" s="635">
        <f>'Section 13 data country'!$D$68</f>
        <v>5.8685900000000002</v>
      </c>
      <c r="E14" s="634">
        <f>'Section 13 data country'!$E$68</f>
        <v>14.11</v>
      </c>
      <c r="F14" s="633">
        <f t="shared" si="0"/>
        <v>5.91845</v>
      </c>
      <c r="G14" s="25"/>
      <c r="H14" s="632" t="s">
        <v>302</v>
      </c>
      <c r="I14" s="631">
        <f>'Section 13 data country'!$G$49</f>
        <v>30.066469999999999</v>
      </c>
      <c r="J14" s="630">
        <f>'Section 13 data country'!$G$11</f>
        <v>33.185850000000002</v>
      </c>
      <c r="K14" s="629">
        <f t="shared" si="1"/>
        <v>19.684552260375096</v>
      </c>
      <c r="L14" s="628">
        <f t="shared" si="2"/>
        <v>17.834257673074518</v>
      </c>
    </row>
    <row r="15" spans="2:12" ht="15" customHeight="1" x14ac:dyDescent="0.2">
      <c r="B15" s="632" t="s">
        <v>303</v>
      </c>
      <c r="C15" s="635">
        <f>'Section 13 data country'!$C$69</f>
        <v>0.45163999999999999</v>
      </c>
      <c r="D15" s="635">
        <f>'Section 13 data country'!$D$69</f>
        <v>16.569330000000001</v>
      </c>
      <c r="E15" s="634">
        <f>'Section 13 data country'!$E$69</f>
        <v>8.3800000000000008</v>
      </c>
      <c r="F15" s="633">
        <f t="shared" si="0"/>
        <v>17.020970000000002</v>
      </c>
      <c r="G15" s="25"/>
      <c r="H15" s="632" t="s">
        <v>303</v>
      </c>
      <c r="I15" s="631">
        <f>'Section 13 data country'!$G$50</f>
        <v>86.336109999999991</v>
      </c>
      <c r="J15" s="630">
        <f>'Section 13 data country'!$G$12</f>
        <v>96.604010000000002</v>
      </c>
      <c r="K15" s="629">
        <f t="shared" si="1"/>
        <v>19.714775196612408</v>
      </c>
      <c r="L15" s="628">
        <f t="shared" si="2"/>
        <v>17.619320357405456</v>
      </c>
    </row>
    <row r="16" spans="2:12" ht="15" customHeight="1" x14ac:dyDescent="0.2">
      <c r="B16" s="632" t="s">
        <v>304</v>
      </c>
      <c r="C16" s="635">
        <f>'Section 13 data country'!$C$70</f>
        <v>2.8511700000000002</v>
      </c>
      <c r="D16" s="635">
        <f>'Section 13 data country'!$D$70</f>
        <v>4.6802999999999999</v>
      </c>
      <c r="E16" s="634">
        <f>'Section 13 data country'!$E$70</f>
        <v>11.86</v>
      </c>
      <c r="F16" s="633">
        <f t="shared" si="0"/>
        <v>7.5314700000000006</v>
      </c>
      <c r="G16" s="25"/>
      <c r="H16" s="632" t="s">
        <v>304</v>
      </c>
      <c r="I16" s="631">
        <f>'Section 13 data country'!$G$51</f>
        <v>38.75761</v>
      </c>
      <c r="J16" s="630">
        <f>'Section 13 data country'!$G$13</f>
        <v>46.924610000000001</v>
      </c>
      <c r="K16" s="629">
        <f t="shared" si="1"/>
        <v>19.432235372614567</v>
      </c>
      <c r="L16" s="628">
        <f t="shared" si="2"/>
        <v>16.05014937790639</v>
      </c>
    </row>
    <row r="17" spans="2:12" ht="15" customHeight="1" x14ac:dyDescent="0.2">
      <c r="B17" s="632" t="s">
        <v>291</v>
      </c>
      <c r="C17" s="635">
        <f>'Section 13 data country'!$C$71</f>
        <v>8.022E-2</v>
      </c>
      <c r="D17" s="635">
        <f>'Section 13 data country'!$D$71</f>
        <v>5.0153400000000001</v>
      </c>
      <c r="E17" s="634">
        <f>'Section 13 data country'!$E$71</f>
        <v>17.18</v>
      </c>
      <c r="F17" s="633">
        <f t="shared" si="0"/>
        <v>5.0955599999999999</v>
      </c>
      <c r="G17" s="25"/>
      <c r="H17" s="632" t="s">
        <v>291</v>
      </c>
      <c r="I17" s="631">
        <f>'Section 13 data country'!$G$52</f>
        <v>38.881959999999999</v>
      </c>
      <c r="J17" s="630">
        <f>'Section 13 data country'!$G$14</f>
        <v>100.34380999999999</v>
      </c>
      <c r="K17" s="629">
        <f t="shared" si="1"/>
        <v>13.105203544265771</v>
      </c>
      <c r="L17" s="628">
        <f t="shared" si="2"/>
        <v>5.0781009810171653</v>
      </c>
    </row>
    <row r="18" spans="2:12" ht="15" customHeight="1" x14ac:dyDescent="0.2">
      <c r="B18" s="632" t="s">
        <v>292</v>
      </c>
      <c r="C18" s="635">
        <f>'Section 13 data country'!$C$72</f>
        <v>5.36287</v>
      </c>
      <c r="D18" s="635">
        <f>'Section 13 data country'!$D$72</f>
        <v>14.03899</v>
      </c>
      <c r="E18" s="634">
        <f>'Section 13 data country'!$E$72</f>
        <v>6.43</v>
      </c>
      <c r="F18" s="633">
        <f t="shared" si="0"/>
        <v>19.401859999999999</v>
      </c>
      <c r="G18" s="25"/>
      <c r="H18" s="632" t="s">
        <v>292</v>
      </c>
      <c r="I18" s="631">
        <f>'Section 13 data country'!$G$53</f>
        <v>93.393150000000006</v>
      </c>
      <c r="J18" s="630">
        <f>'Section 13 data country'!$G$15</f>
        <v>114.28462999999999</v>
      </c>
      <c r="K18" s="629">
        <f t="shared" si="1"/>
        <v>20.774392982782995</v>
      </c>
      <c r="L18" s="628">
        <f t="shared" si="2"/>
        <v>16.976788567281531</v>
      </c>
    </row>
    <row r="19" spans="2:12" ht="15" customHeight="1" x14ac:dyDescent="0.2">
      <c r="B19" s="632" t="s">
        <v>293</v>
      </c>
      <c r="C19" s="635">
        <f>'Section 13 data country'!$C$73</f>
        <v>0.44812000000000002</v>
      </c>
      <c r="D19" s="635">
        <f>'Section 13 data country'!$D$73</f>
        <v>11.128360000000001</v>
      </c>
      <c r="E19" s="634">
        <f>'Section 13 data country'!$E$73</f>
        <v>7.78</v>
      </c>
      <c r="F19" s="633">
        <f t="shared" si="0"/>
        <v>11.57648</v>
      </c>
      <c r="G19" s="25"/>
      <c r="H19" s="632" t="s">
        <v>293</v>
      </c>
      <c r="I19" s="631">
        <f>'Section 13 data country'!$G$54</f>
        <v>73.585939999999994</v>
      </c>
      <c r="J19" s="630">
        <f>'Section 13 data country'!$G$16</f>
        <v>88.609620000000007</v>
      </c>
      <c r="K19" s="629">
        <f t="shared" si="1"/>
        <v>15.731918352880999</v>
      </c>
      <c r="L19" s="628">
        <f t="shared" si="2"/>
        <v>13.064585989647624</v>
      </c>
    </row>
    <row r="20" spans="2:12" ht="15" customHeight="1" x14ac:dyDescent="0.2">
      <c r="B20" s="632" t="s">
        <v>294</v>
      </c>
      <c r="C20" s="635">
        <f>'Section 13 data country'!$C$74</f>
        <v>3.3516399999999997</v>
      </c>
      <c r="D20" s="635">
        <f>'Section 13 data country'!$D$74</f>
        <v>11.53</v>
      </c>
      <c r="E20" s="634">
        <f>'Section 13 data country'!$E$74</f>
        <v>7.67</v>
      </c>
      <c r="F20" s="633">
        <f t="shared" si="0"/>
        <v>14.881639999999999</v>
      </c>
      <c r="G20" s="25"/>
      <c r="H20" s="632" t="s">
        <v>294</v>
      </c>
      <c r="I20" s="631">
        <f>'Section 13 data country'!$G$55</f>
        <v>80.404610000000005</v>
      </c>
      <c r="J20" s="630">
        <f>'Section 13 data country'!$G$17</f>
        <v>100.84719</v>
      </c>
      <c r="K20" s="629">
        <f t="shared" si="1"/>
        <v>18.508441244849021</v>
      </c>
      <c r="L20" s="628">
        <f t="shared" si="2"/>
        <v>14.75662336253494</v>
      </c>
    </row>
    <row r="21" spans="2:12" ht="15" customHeight="1" x14ac:dyDescent="0.2">
      <c r="B21" s="632" t="s">
        <v>295</v>
      </c>
      <c r="C21" s="635">
        <f>'Section 13 data country'!$C$75</f>
        <v>0.83135000000000003</v>
      </c>
      <c r="D21" s="635">
        <f>'Section 13 data country'!$D$75</f>
        <v>17.8</v>
      </c>
      <c r="E21" s="634">
        <f>'Section 13 data country'!$E$75</f>
        <v>9.09</v>
      </c>
      <c r="F21" s="633">
        <f t="shared" si="0"/>
        <v>18.631350000000001</v>
      </c>
      <c r="G21" s="25"/>
      <c r="H21" s="632" t="s">
        <v>295</v>
      </c>
      <c r="I21" s="631">
        <f>'Section 13 data country'!$G$56</f>
        <v>100.96449</v>
      </c>
      <c r="J21" s="630">
        <f>'Section 13 data country'!$G$18</f>
        <v>130.76726000000002</v>
      </c>
      <c r="K21" s="629">
        <f t="shared" si="1"/>
        <v>18.453369100363904</v>
      </c>
      <c r="L21" s="628">
        <f t="shared" si="2"/>
        <v>14.247717662662657</v>
      </c>
    </row>
    <row r="22" spans="2:12" ht="15" customHeight="1" x14ac:dyDescent="0.2">
      <c r="B22" s="624" t="s">
        <v>296</v>
      </c>
      <c r="C22" s="627">
        <f>'Section 13 data country'!$C$76</f>
        <v>0.41500999999999999</v>
      </c>
      <c r="D22" s="627">
        <f>'Section 13 data country'!$D$76</f>
        <v>10.818479999999999</v>
      </c>
      <c r="E22" s="626">
        <f>'Section 13 data country'!$E$76</f>
        <v>8.59</v>
      </c>
      <c r="F22" s="625">
        <f t="shared" si="0"/>
        <v>11.23349</v>
      </c>
      <c r="G22" s="25"/>
      <c r="H22" s="624" t="s">
        <v>296</v>
      </c>
      <c r="I22" s="623">
        <f>'Section 13 data country'!$G$57</f>
        <v>69.355919999999998</v>
      </c>
      <c r="J22" s="622">
        <f>'Section 13 data country'!$G$19</f>
        <v>100.85017000000001</v>
      </c>
      <c r="K22" s="621">
        <f t="shared" si="1"/>
        <v>16.196872595735158</v>
      </c>
      <c r="L22" s="620">
        <f t="shared" si="2"/>
        <v>11.138791337684408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317E85D-0CC4-4AA0-9AAE-C333D0395F9C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2B7D8FF2-38CC-4BAC-9A80-FB7E02719A29}">
            <xm:f>Sheet1!$D$5</xm:f>
            <xm:f>Sheet1!$E$5</xm:f>
            <x14:dxf>
              <numFmt numFmtId="174" formatCode="&quot;&lt; 0.1&quot;"/>
            </x14:dxf>
          </x14:cfRule>
          <xm:sqref>C8:D22 F8:F22 I8:J22</xm:sqref>
        </x14:conditionalFormatting>
      </x14:conditionalFormatting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920</v>
      </c>
      <c r="C3" t="s">
        <v>921</v>
      </c>
    </row>
    <row r="5" spans="2:12" ht="15" customHeight="1" x14ac:dyDescent="0.2">
      <c r="B5" s="1070" t="s">
        <v>738</v>
      </c>
      <c r="C5" s="1141" t="s">
        <v>745</v>
      </c>
      <c r="D5" s="1141"/>
      <c r="E5" s="1141"/>
      <c r="F5" s="1133"/>
      <c r="G5" s="25"/>
      <c r="H5" s="1070" t="s">
        <v>738</v>
      </c>
      <c r="I5" s="1021" t="s">
        <v>282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743</v>
      </c>
      <c r="L6" s="640" t="s">
        <v>744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598" t="s">
        <v>326</v>
      </c>
      <c r="J7" s="597" t="s">
        <v>326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13 data country'!$J$62</f>
        <v>3345.3009999999999</v>
      </c>
      <c r="D8" s="652">
        <f>'Section 13 data country'!$K$62</f>
        <v>50885.180999999997</v>
      </c>
      <c r="E8" s="638">
        <f>'Section 13 data country'!$L$62</f>
        <v>3.4947469097501185</v>
      </c>
      <c r="F8" s="651">
        <f>SUM(C8,D8)</f>
        <v>54230.481999999996</v>
      </c>
      <c r="G8" s="25"/>
      <c r="H8" s="636" t="s">
        <v>721</v>
      </c>
      <c r="I8" s="65">
        <f>'Section 13 data country'!$N$43</f>
        <v>177942.09700000001</v>
      </c>
      <c r="J8" s="66">
        <f>'Section 13 data country'!$N$5</f>
        <v>267859.15499999997</v>
      </c>
      <c r="K8" s="55">
        <f>IF(I8=0,0,100*F8/I8)</f>
        <v>30.476476850781403</v>
      </c>
      <c r="L8" s="56">
        <f>IF(J8=0,0,100*F8/J8)</f>
        <v>20.245894526173654</v>
      </c>
    </row>
    <row r="9" spans="2:12" ht="15" customHeight="1" x14ac:dyDescent="0.2">
      <c r="B9" s="632" t="s">
        <v>286</v>
      </c>
      <c r="C9" s="650">
        <f>'Section 13 data country'!$J$63</f>
        <v>111.29900000000001</v>
      </c>
      <c r="D9" s="650">
        <f>'Section 13 data country'!$K$63</f>
        <v>2526.846</v>
      </c>
      <c r="E9" s="880">
        <f>'Section 13 data country'!$L$63</f>
        <v>12.83</v>
      </c>
      <c r="F9" s="649">
        <f t="shared" ref="F9:F22" si="0">SUM(C9,D9)</f>
        <v>2638.145</v>
      </c>
      <c r="G9" s="25"/>
      <c r="H9" s="632" t="s">
        <v>286</v>
      </c>
      <c r="I9" s="648">
        <f>'Section 13 data country'!$N$44</f>
        <v>7725.7210000000005</v>
      </c>
      <c r="J9" s="629">
        <f>'Section 13 data country'!$N$6</f>
        <v>16572.267</v>
      </c>
      <c r="K9" s="629">
        <f t="shared" ref="K9:K22" si="1">IF(I9=0,0,100*F9/I9)</f>
        <v>34.147557231227999</v>
      </c>
      <c r="L9" s="628">
        <f t="shared" ref="L9:L22" si="2">IF(J9=0,0,100*F9/J9)</f>
        <v>15.919035096405338</v>
      </c>
    </row>
    <row r="10" spans="2:12" ht="15" customHeight="1" x14ac:dyDescent="0.2">
      <c r="B10" s="632" t="s">
        <v>298</v>
      </c>
      <c r="C10" s="650">
        <f>'Section 13 data country'!$J$64</f>
        <v>45.551000000000002</v>
      </c>
      <c r="D10" s="650">
        <f>'Section 13 data country'!$K$64</f>
        <v>6553.19</v>
      </c>
      <c r="E10" s="880">
        <f>'Section 13 data country'!$L$64</f>
        <v>10.53</v>
      </c>
      <c r="F10" s="649">
        <f t="shared" si="0"/>
        <v>6598.741</v>
      </c>
      <c r="G10" s="25"/>
      <c r="H10" s="632" t="s">
        <v>298</v>
      </c>
      <c r="I10" s="648">
        <f>'Section 13 data country'!$N$45</f>
        <v>17451.120000000003</v>
      </c>
      <c r="J10" s="629">
        <f>'Section 13 data country'!$N$7</f>
        <v>25733.827999999998</v>
      </c>
      <c r="K10" s="629">
        <f t="shared" si="1"/>
        <v>37.812707723057308</v>
      </c>
      <c r="L10" s="628">
        <f t="shared" si="2"/>
        <v>25.642282990311433</v>
      </c>
    </row>
    <row r="11" spans="2:12" ht="15" customHeight="1" x14ac:dyDescent="0.2">
      <c r="B11" s="632" t="s">
        <v>287</v>
      </c>
      <c r="C11" s="650">
        <f>'Section 13 data country'!$J$65</f>
        <v>143.93899999999999</v>
      </c>
      <c r="D11" s="650">
        <f>'Section 13 data country'!$K$65</f>
        <v>4861.3559999999998</v>
      </c>
      <c r="E11" s="880">
        <f>'Section 13 data country'!$L$65</f>
        <v>11.8</v>
      </c>
      <c r="F11" s="649">
        <f t="shared" si="0"/>
        <v>5005.2950000000001</v>
      </c>
      <c r="G11" s="25"/>
      <c r="H11" s="632" t="s">
        <v>287</v>
      </c>
      <c r="I11" s="648">
        <f>'Section 13 data country'!$N$46</f>
        <v>16181.21</v>
      </c>
      <c r="J11" s="629">
        <f>'Section 13 data country'!$N$8</f>
        <v>23650.592000000001</v>
      </c>
      <c r="K11" s="629">
        <f t="shared" si="1"/>
        <v>30.93276089983382</v>
      </c>
      <c r="L11" s="628">
        <f t="shared" si="2"/>
        <v>21.163508296113687</v>
      </c>
    </row>
    <row r="12" spans="2:12" ht="15" customHeight="1" x14ac:dyDescent="0.2">
      <c r="B12" s="632" t="s">
        <v>288</v>
      </c>
      <c r="C12" s="650">
        <f>'Section 13 data country'!$J$66</f>
        <v>18.762</v>
      </c>
      <c r="D12" s="650">
        <f>'Section 13 data country'!$K$66</f>
        <v>1722.123</v>
      </c>
      <c r="E12" s="880">
        <f>'Section 13 data country'!$L$66</f>
        <v>20.440000000000001</v>
      </c>
      <c r="F12" s="649">
        <f t="shared" si="0"/>
        <v>1740.885</v>
      </c>
      <c r="G12" s="25"/>
      <c r="H12" s="632" t="s">
        <v>288</v>
      </c>
      <c r="I12" s="648">
        <f>'Section 13 data country'!$N$47</f>
        <v>6148.63</v>
      </c>
      <c r="J12" s="629">
        <f>'Section 13 data country'!$N$9</f>
        <v>9648.25</v>
      </c>
      <c r="K12" s="629">
        <f t="shared" si="1"/>
        <v>28.313380379043785</v>
      </c>
      <c r="L12" s="628">
        <f t="shared" si="2"/>
        <v>18.043531210323117</v>
      </c>
    </row>
    <row r="13" spans="2:12" ht="15" customHeight="1" x14ac:dyDescent="0.2">
      <c r="B13" s="632" t="s">
        <v>301</v>
      </c>
      <c r="C13" s="650">
        <f>'Section 13 data country'!$J$67</f>
        <v>11.15</v>
      </c>
      <c r="D13" s="650">
        <f>'Section 13 data country'!$K$67</f>
        <v>702.71400000000006</v>
      </c>
      <c r="E13" s="880">
        <f>'Section 13 data country'!$L$67</f>
        <v>25.05</v>
      </c>
      <c r="F13" s="649">
        <f t="shared" si="0"/>
        <v>713.86400000000003</v>
      </c>
      <c r="G13" s="25"/>
      <c r="H13" s="632" t="s">
        <v>301</v>
      </c>
      <c r="I13" s="648">
        <f>'Section 13 data country'!$N$48</f>
        <v>4046.2580000000003</v>
      </c>
      <c r="J13" s="629">
        <f>'Section 13 data country'!$N$10</f>
        <v>4775.491</v>
      </c>
      <c r="K13" s="629">
        <f t="shared" si="1"/>
        <v>17.642572470663019</v>
      </c>
      <c r="L13" s="628">
        <f t="shared" si="2"/>
        <v>14.948494301423667</v>
      </c>
    </row>
    <row r="14" spans="2:12" ht="15" customHeight="1" x14ac:dyDescent="0.2">
      <c r="B14" s="632" t="s">
        <v>302</v>
      </c>
      <c r="C14" s="650">
        <f>'Section 13 data country'!$J$68</f>
        <v>8.2620000000000005</v>
      </c>
      <c r="D14" s="650">
        <f>'Section 13 data country'!$K$68</f>
        <v>1858.7739999999999</v>
      </c>
      <c r="E14" s="880">
        <f>'Section 13 data country'!$L$68</f>
        <v>19.5</v>
      </c>
      <c r="F14" s="649">
        <f t="shared" si="0"/>
        <v>1867.0359999999998</v>
      </c>
      <c r="G14" s="25"/>
      <c r="H14" s="632" t="s">
        <v>302</v>
      </c>
      <c r="I14" s="648">
        <f>'Section 13 data country'!$N$49</f>
        <v>5489.2429999999995</v>
      </c>
      <c r="J14" s="629">
        <f>'Section 13 data country'!$N$11</f>
        <v>6465.1950000000006</v>
      </c>
      <c r="K14" s="629">
        <f t="shared" si="1"/>
        <v>34.012631614231687</v>
      </c>
      <c r="L14" s="628">
        <f t="shared" si="2"/>
        <v>28.878262759282585</v>
      </c>
    </row>
    <row r="15" spans="2:12" ht="15" customHeight="1" x14ac:dyDescent="0.2">
      <c r="B15" s="632" t="s">
        <v>303</v>
      </c>
      <c r="C15" s="650">
        <f>'Section 13 data country'!$J$69</f>
        <v>70.594999999999999</v>
      </c>
      <c r="D15" s="650">
        <f>'Section 13 data country'!$K$69</f>
        <v>5688.6120000000001</v>
      </c>
      <c r="E15" s="880">
        <f>'Section 13 data country'!$L$69</f>
        <v>10.130000000000001</v>
      </c>
      <c r="F15" s="649">
        <f t="shared" si="0"/>
        <v>5759.2070000000003</v>
      </c>
      <c r="G15" s="25"/>
      <c r="H15" s="632" t="s">
        <v>303</v>
      </c>
      <c r="I15" s="648">
        <f>'Section 13 data country'!$N$50</f>
        <v>17221.775000000001</v>
      </c>
      <c r="J15" s="629">
        <f>'Section 13 data country'!$N$12</f>
        <v>20587.675000000003</v>
      </c>
      <c r="K15" s="629">
        <f t="shared" si="1"/>
        <v>33.441425172492387</v>
      </c>
      <c r="L15" s="628">
        <f t="shared" si="2"/>
        <v>27.974052436712743</v>
      </c>
    </row>
    <row r="16" spans="2:12" ht="15" customHeight="1" x14ac:dyDescent="0.2">
      <c r="B16" s="632" t="s">
        <v>304</v>
      </c>
      <c r="C16" s="650">
        <f>'Section 13 data country'!$J$70</f>
        <v>464.238</v>
      </c>
      <c r="D16" s="650">
        <f>'Section 13 data country'!$K$70</f>
        <v>1220.462</v>
      </c>
      <c r="E16" s="880">
        <f>'Section 13 data country'!$L$70</f>
        <v>15.39</v>
      </c>
      <c r="F16" s="649">
        <f t="shared" si="0"/>
        <v>1684.7</v>
      </c>
      <c r="G16" s="25"/>
      <c r="H16" s="632" t="s">
        <v>304</v>
      </c>
      <c r="I16" s="648">
        <f>'Section 13 data country'!$N$51</f>
        <v>7404.7919999999995</v>
      </c>
      <c r="J16" s="629">
        <f>'Section 13 data country'!$N$13</f>
        <v>9282.0709999999999</v>
      </c>
      <c r="K16" s="629">
        <f t="shared" si="1"/>
        <v>22.751483093650709</v>
      </c>
      <c r="L16" s="628">
        <f t="shared" si="2"/>
        <v>18.150044316618565</v>
      </c>
    </row>
    <row r="17" spans="2:12" ht="15" customHeight="1" x14ac:dyDescent="0.2">
      <c r="B17" s="632" t="s">
        <v>291</v>
      </c>
      <c r="C17" s="650">
        <f>'Section 13 data country'!$J$71</f>
        <v>9.4160000000000004</v>
      </c>
      <c r="D17" s="650">
        <f>'Section 13 data country'!$K$71</f>
        <v>1181.8150000000001</v>
      </c>
      <c r="E17" s="880">
        <f>'Section 13 data country'!$L$71</f>
        <v>22.5</v>
      </c>
      <c r="F17" s="649">
        <f t="shared" si="0"/>
        <v>1191.231</v>
      </c>
      <c r="G17" s="25"/>
      <c r="H17" s="632" t="s">
        <v>291</v>
      </c>
      <c r="I17" s="648">
        <f>'Section 13 data country'!$N$52</f>
        <v>5556.7159999999994</v>
      </c>
      <c r="J17" s="629">
        <f>'Section 13 data country'!$N$14</f>
        <v>20394.612999999998</v>
      </c>
      <c r="K17" s="629">
        <f t="shared" si="1"/>
        <v>21.437680097381261</v>
      </c>
      <c r="L17" s="628">
        <f t="shared" si="2"/>
        <v>5.8409100481583067</v>
      </c>
    </row>
    <row r="18" spans="2:12" ht="15" customHeight="1" x14ac:dyDescent="0.2">
      <c r="B18" s="632" t="s">
        <v>292</v>
      </c>
      <c r="C18" s="650">
        <f>'Section 13 data country'!$J$72</f>
        <v>1663.5640000000001</v>
      </c>
      <c r="D18" s="650">
        <f>'Section 13 data country'!$K$72</f>
        <v>6146.5060000000003</v>
      </c>
      <c r="E18" s="880">
        <f>'Section 13 data country'!$L$72</f>
        <v>8.7200000000000006</v>
      </c>
      <c r="F18" s="649">
        <f t="shared" si="0"/>
        <v>7810.0700000000006</v>
      </c>
      <c r="G18" s="25"/>
      <c r="H18" s="632" t="s">
        <v>292</v>
      </c>
      <c r="I18" s="648">
        <f>'Section 13 data country'!$N$53</f>
        <v>21854.725999999999</v>
      </c>
      <c r="J18" s="629">
        <f>'Section 13 data country'!$N$15</f>
        <v>28762.093000000001</v>
      </c>
      <c r="K18" s="629">
        <f t="shared" si="1"/>
        <v>35.736297952214095</v>
      </c>
      <c r="L18" s="628">
        <f t="shared" si="2"/>
        <v>27.154039172323102</v>
      </c>
    </row>
    <row r="19" spans="2:12" ht="15" customHeight="1" x14ac:dyDescent="0.2">
      <c r="B19" s="632" t="s">
        <v>293</v>
      </c>
      <c r="C19" s="650">
        <f>'Section 13 data country'!$J$73</f>
        <v>83.831000000000003</v>
      </c>
      <c r="D19" s="650">
        <f>'Section 13 data country'!$K$73</f>
        <v>3949.58</v>
      </c>
      <c r="E19" s="880">
        <f>'Section 13 data country'!$L$73</f>
        <v>10.29</v>
      </c>
      <c r="F19" s="649">
        <f t="shared" si="0"/>
        <v>4033.4110000000001</v>
      </c>
      <c r="G19" s="25"/>
      <c r="H19" s="632" t="s">
        <v>293</v>
      </c>
      <c r="I19" s="648">
        <f>'Section 13 data country'!$N$54</f>
        <v>16691.351999999999</v>
      </c>
      <c r="J19" s="629">
        <f>'Section 13 data country'!$N$16</f>
        <v>22055.275000000001</v>
      </c>
      <c r="K19" s="629">
        <f t="shared" si="1"/>
        <v>24.164675216243719</v>
      </c>
      <c r="L19" s="628">
        <f t="shared" si="2"/>
        <v>18.287738420853966</v>
      </c>
    </row>
    <row r="20" spans="2:12" ht="15" customHeight="1" x14ac:dyDescent="0.2">
      <c r="B20" s="632" t="s">
        <v>294</v>
      </c>
      <c r="C20" s="650">
        <f>'Section 13 data country'!$J$74</f>
        <v>119.658</v>
      </c>
      <c r="D20" s="650">
        <f>'Section 13 data country'!$K$74</f>
        <v>4621.2719999999999</v>
      </c>
      <c r="E20" s="880">
        <f>'Section 13 data country'!$L$74</f>
        <v>11.67</v>
      </c>
      <c r="F20" s="649">
        <f t="shared" si="0"/>
        <v>4740.93</v>
      </c>
      <c r="G20" s="25"/>
      <c r="H20" s="632" t="s">
        <v>294</v>
      </c>
      <c r="I20" s="648">
        <f>'Section 13 data country'!$N$55</f>
        <v>17864.198</v>
      </c>
      <c r="J20" s="629">
        <f>'Section 13 data country'!$N$17</f>
        <v>25541.550999999999</v>
      </c>
      <c r="K20" s="629">
        <f t="shared" si="1"/>
        <v>26.538722869059107</v>
      </c>
      <c r="L20" s="628">
        <f t="shared" si="2"/>
        <v>18.561637075211291</v>
      </c>
    </row>
    <row r="21" spans="2:12" ht="15" customHeight="1" x14ac:dyDescent="0.2">
      <c r="B21" s="632" t="s">
        <v>295</v>
      </c>
      <c r="C21" s="650">
        <f>'Section 13 data country'!$J$75</f>
        <v>531.17899999999997</v>
      </c>
      <c r="D21" s="650">
        <f>'Section 13 data country'!$K$75</f>
        <v>7180.2640000000001</v>
      </c>
      <c r="E21" s="880">
        <f>'Section 13 data country'!$L$75</f>
        <v>11.45</v>
      </c>
      <c r="F21" s="649">
        <f t="shared" si="0"/>
        <v>7711.4430000000002</v>
      </c>
      <c r="G21" s="25"/>
      <c r="H21" s="632" t="s">
        <v>295</v>
      </c>
      <c r="I21" s="648">
        <f>'Section 13 data country'!$N$56</f>
        <v>22718.856</v>
      </c>
      <c r="J21" s="629">
        <f>'Section 13 data country'!$N$18</f>
        <v>34428.548000000003</v>
      </c>
      <c r="K21" s="629">
        <f t="shared" si="1"/>
        <v>33.942919485030409</v>
      </c>
      <c r="L21" s="628">
        <f t="shared" si="2"/>
        <v>22.398397399739309</v>
      </c>
    </row>
    <row r="22" spans="2:12" ht="15" customHeight="1" x14ac:dyDescent="0.2">
      <c r="B22" s="624" t="s">
        <v>296</v>
      </c>
      <c r="C22" s="647">
        <f>'Section 13 data country'!$J$76</f>
        <v>63.856999999999999</v>
      </c>
      <c r="D22" s="647">
        <f>'Section 13 data country'!$K$76</f>
        <v>2671.6669999999999</v>
      </c>
      <c r="E22" s="881">
        <f>'Section 13 data country'!$L$76</f>
        <v>12.33</v>
      </c>
      <c r="F22" s="646">
        <f t="shared" si="0"/>
        <v>2735.5239999999999</v>
      </c>
      <c r="G22" s="25"/>
      <c r="H22" s="624" t="s">
        <v>296</v>
      </c>
      <c r="I22" s="645">
        <f>'Section 13 data country'!$N$57</f>
        <v>11587.5</v>
      </c>
      <c r="J22" s="621">
        <f>'Section 13 data country'!$N$19</f>
        <v>19961.705999999998</v>
      </c>
      <c r="K22" s="621">
        <f t="shared" si="1"/>
        <v>23.607542610571734</v>
      </c>
      <c r="L22" s="620">
        <f t="shared" si="2"/>
        <v>13.703858778403008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A6F1E1A-7714-4CEC-B425-14827889467D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06FA1E9B-9A5A-47BF-B40C-6F1CEB12E90E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923</v>
      </c>
      <c r="C3" t="s">
        <v>922</v>
      </c>
    </row>
    <row r="5" spans="2:12" ht="15" customHeight="1" x14ac:dyDescent="0.2">
      <c r="B5" s="1070" t="s">
        <v>739</v>
      </c>
      <c r="C5" s="1141" t="s">
        <v>972</v>
      </c>
      <c r="D5" s="1141"/>
      <c r="E5" s="1141"/>
      <c r="F5" s="1133"/>
      <c r="G5" s="25"/>
      <c r="H5" s="1070" t="s">
        <v>738</v>
      </c>
      <c r="I5" s="1021" t="s">
        <v>284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386</v>
      </c>
      <c r="L6" s="640" t="s">
        <v>387</v>
      </c>
    </row>
    <row r="7" spans="2:12" ht="45" customHeight="1" x14ac:dyDescent="0.2">
      <c r="B7" s="1155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1155"/>
      <c r="I7" s="598" t="s">
        <v>271</v>
      </c>
      <c r="J7" s="597" t="s">
        <v>271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13 data country'!$Q$62</f>
        <v>16920.057000000001</v>
      </c>
      <c r="D8" s="652">
        <f>'Section 13 data country'!$R$62</f>
        <v>91445.638999999996</v>
      </c>
      <c r="E8" s="638">
        <f>'Section 13 data country'!$S$62</f>
        <v>3.4430090989665878</v>
      </c>
      <c r="F8" s="651">
        <f>SUM(C8,D8)</f>
        <v>108365.696</v>
      </c>
      <c r="G8" s="25"/>
      <c r="H8" s="636" t="s">
        <v>721</v>
      </c>
      <c r="I8" s="65">
        <f>'Section 13 data country'!$U$43</f>
        <v>1041478.706</v>
      </c>
      <c r="J8" s="66">
        <f>'Section 13 data country'!$U$5</f>
        <v>1347450.7200000002</v>
      </c>
      <c r="K8" s="55">
        <f>IF(I8=0,0,100*F8/I8)</f>
        <v>10.404984314676904</v>
      </c>
      <c r="L8" s="56">
        <f>IF(J8=0,0,100*F8/J8)</f>
        <v>8.0422752677737996</v>
      </c>
    </row>
    <row r="9" spans="2:12" ht="15" customHeight="1" x14ac:dyDescent="0.2">
      <c r="B9" s="632" t="s">
        <v>286</v>
      </c>
      <c r="C9" s="650">
        <f>'Section 13 data country'!$Q$63</f>
        <v>689.92499999999995</v>
      </c>
      <c r="D9" s="650">
        <f>'Section 13 data country'!$R$63</f>
        <v>5087.8100000000004</v>
      </c>
      <c r="E9" s="880">
        <f>'Section 13 data country'!$S$63</f>
        <v>11.94</v>
      </c>
      <c r="F9" s="649">
        <f t="shared" ref="F9:F22" si="0">SUM(C9,D9)</f>
        <v>5777.7350000000006</v>
      </c>
      <c r="G9" s="25"/>
      <c r="H9" s="632" t="s">
        <v>286</v>
      </c>
      <c r="I9" s="648">
        <f>'Section 13 data country'!$U$44</f>
        <v>49491.281999999999</v>
      </c>
      <c r="J9" s="629">
        <f>'Section 13 data country'!$U$6</f>
        <v>88711.834000000003</v>
      </c>
      <c r="K9" s="629">
        <f t="shared" ref="K9:K22" si="1">IF(I9=0,0,100*F9/I9)</f>
        <v>11.674248001900617</v>
      </c>
      <c r="L9" s="628">
        <f t="shared" ref="L9:L22" si="2">IF(J9=0,0,100*F9/J9)</f>
        <v>6.5129247581557159</v>
      </c>
    </row>
    <row r="10" spans="2:12" ht="15" customHeight="1" x14ac:dyDescent="0.2">
      <c r="B10" s="632" t="s">
        <v>298</v>
      </c>
      <c r="C10" s="650">
        <f>'Section 13 data country'!$Q$64</f>
        <v>241.339</v>
      </c>
      <c r="D10" s="650">
        <f>'Section 13 data country'!$R$64</f>
        <v>8403.4339999999993</v>
      </c>
      <c r="E10" s="880">
        <f>'Section 13 data country'!$S$64</f>
        <v>8.69</v>
      </c>
      <c r="F10" s="649">
        <f t="shared" si="0"/>
        <v>8644.7729999999992</v>
      </c>
      <c r="G10" s="25"/>
      <c r="H10" s="632" t="s">
        <v>298</v>
      </c>
      <c r="I10" s="648">
        <f>'Section 13 data country'!$U$45</f>
        <v>101036.16800000001</v>
      </c>
      <c r="J10" s="629">
        <f>'Section 13 data country'!$U$7</f>
        <v>124156.857</v>
      </c>
      <c r="K10" s="629">
        <f t="shared" si="1"/>
        <v>8.5561172510026307</v>
      </c>
      <c r="L10" s="628">
        <f t="shared" si="2"/>
        <v>6.9627833765154019</v>
      </c>
    </row>
    <row r="11" spans="2:12" ht="15" customHeight="1" x14ac:dyDescent="0.2">
      <c r="B11" s="632" t="s">
        <v>287</v>
      </c>
      <c r="C11" s="650">
        <f>'Section 13 data country'!$Q$65</f>
        <v>831.18100000000004</v>
      </c>
      <c r="D11" s="650">
        <f>'Section 13 data country'!$R$65</f>
        <v>10574.53</v>
      </c>
      <c r="E11" s="880">
        <f>'Section 13 data country'!$S$65</f>
        <v>11.61</v>
      </c>
      <c r="F11" s="649">
        <f t="shared" si="0"/>
        <v>11405.711000000001</v>
      </c>
      <c r="G11" s="25"/>
      <c r="H11" s="632" t="s">
        <v>287</v>
      </c>
      <c r="I11" s="648">
        <f>'Section 13 data country'!$U$46</f>
        <v>99653.861000000004</v>
      </c>
      <c r="J11" s="629">
        <f>'Section 13 data country'!$U$8</f>
        <v>129036.50900000001</v>
      </c>
      <c r="K11" s="629">
        <f t="shared" si="1"/>
        <v>11.44532774299633</v>
      </c>
      <c r="L11" s="628">
        <f t="shared" si="2"/>
        <v>8.8391348219130759</v>
      </c>
    </row>
    <row r="12" spans="2:12" ht="15" customHeight="1" x14ac:dyDescent="0.2">
      <c r="B12" s="632" t="s">
        <v>288</v>
      </c>
      <c r="C12" s="650">
        <f>'Section 13 data country'!$Q$66</f>
        <v>149.98400000000001</v>
      </c>
      <c r="D12" s="650">
        <f>'Section 13 data country'!$R$66</f>
        <v>5276.433</v>
      </c>
      <c r="E12" s="880">
        <f>'Section 13 data country'!$S$66</f>
        <v>16.38</v>
      </c>
      <c r="F12" s="649">
        <f t="shared" si="0"/>
        <v>5426.4170000000004</v>
      </c>
      <c r="G12" s="25"/>
      <c r="H12" s="632" t="s">
        <v>288</v>
      </c>
      <c r="I12" s="648">
        <f>'Section 13 data country'!$U$47</f>
        <v>41422.396000000001</v>
      </c>
      <c r="J12" s="629">
        <f>'Section 13 data country'!$U$9</f>
        <v>50700.447</v>
      </c>
      <c r="K12" s="629">
        <f t="shared" si="1"/>
        <v>13.100200674050821</v>
      </c>
      <c r="L12" s="628">
        <f t="shared" si="2"/>
        <v>10.702897747627354</v>
      </c>
    </row>
    <row r="13" spans="2:12" ht="15" customHeight="1" x14ac:dyDescent="0.2">
      <c r="B13" s="632" t="s">
        <v>301</v>
      </c>
      <c r="C13" s="650">
        <f>'Section 13 data country'!$Q$67</f>
        <v>49.984999999999999</v>
      </c>
      <c r="D13" s="650">
        <f>'Section 13 data country'!$R$67</f>
        <v>3005.1529999999998</v>
      </c>
      <c r="E13" s="880">
        <f>'Section 13 data country'!$S$67</f>
        <v>21.52</v>
      </c>
      <c r="F13" s="649">
        <f t="shared" si="0"/>
        <v>3055.1379999999999</v>
      </c>
      <c r="G13" s="25"/>
      <c r="H13" s="632" t="s">
        <v>301</v>
      </c>
      <c r="I13" s="648">
        <f>'Section 13 data country'!$U$48</f>
        <v>21688.277999999998</v>
      </c>
      <c r="J13" s="629">
        <f>'Section 13 data country'!$U$10</f>
        <v>23832.075999999997</v>
      </c>
      <c r="K13" s="629">
        <f t="shared" si="1"/>
        <v>14.086586311739458</v>
      </c>
      <c r="L13" s="628">
        <f t="shared" si="2"/>
        <v>12.819437131704348</v>
      </c>
    </row>
    <row r="14" spans="2:12" ht="15" customHeight="1" x14ac:dyDescent="0.2">
      <c r="B14" s="632" t="s">
        <v>302</v>
      </c>
      <c r="C14" s="650">
        <f>'Section 13 data country'!$Q$68</f>
        <v>59.960999999999999</v>
      </c>
      <c r="D14" s="650">
        <f>'Section 13 data country'!$R$68</f>
        <v>3051.0219999999999</v>
      </c>
      <c r="E14" s="880">
        <f>'Section 13 data country'!$S$68</f>
        <v>17.07</v>
      </c>
      <c r="F14" s="649">
        <f t="shared" si="0"/>
        <v>3110.9829999999997</v>
      </c>
      <c r="G14" s="25"/>
      <c r="H14" s="632" t="s">
        <v>302</v>
      </c>
      <c r="I14" s="648">
        <f>'Section 13 data country'!$U$49</f>
        <v>27971.547999999999</v>
      </c>
      <c r="J14" s="629">
        <f>'Section 13 data country'!$U$11</f>
        <v>30174.713000000003</v>
      </c>
      <c r="K14" s="629">
        <f t="shared" si="1"/>
        <v>11.121955066626988</v>
      </c>
      <c r="L14" s="628">
        <f t="shared" si="2"/>
        <v>10.309900876273453</v>
      </c>
    </row>
    <row r="15" spans="2:12" ht="15" customHeight="1" x14ac:dyDescent="0.2">
      <c r="B15" s="632" t="s">
        <v>303</v>
      </c>
      <c r="C15" s="650">
        <f>'Section 13 data country'!$Q$69</f>
        <v>647.80100000000004</v>
      </c>
      <c r="D15" s="650">
        <f>'Section 13 data country'!$R$69</f>
        <v>9747.1540000000005</v>
      </c>
      <c r="E15" s="880">
        <f>'Section 13 data country'!$S$69</f>
        <v>10.18</v>
      </c>
      <c r="F15" s="649">
        <f t="shared" si="0"/>
        <v>10394.955</v>
      </c>
      <c r="G15" s="25"/>
      <c r="H15" s="632" t="s">
        <v>303</v>
      </c>
      <c r="I15" s="648">
        <f>'Section 13 data country'!$U$50</f>
        <v>125248.374</v>
      </c>
      <c r="J15" s="629">
        <f>'Section 13 data country'!$U$12</f>
        <v>134691.53</v>
      </c>
      <c r="K15" s="629">
        <f t="shared" si="1"/>
        <v>8.2994730135179235</v>
      </c>
      <c r="L15" s="628">
        <f t="shared" si="2"/>
        <v>7.7176010993415849</v>
      </c>
    </row>
    <row r="16" spans="2:12" ht="15" customHeight="1" x14ac:dyDescent="0.2">
      <c r="B16" s="632" t="s">
        <v>304</v>
      </c>
      <c r="C16" s="650">
        <f>'Section 13 data country'!$Q$70</f>
        <v>4049.8879999999999</v>
      </c>
      <c r="D16" s="650">
        <f>'Section 13 data country'!$R$70</f>
        <v>4660.0330000000004</v>
      </c>
      <c r="E16" s="880">
        <f>'Section 13 data country'!$S$70</f>
        <v>17.100000000000001</v>
      </c>
      <c r="F16" s="649">
        <f t="shared" si="0"/>
        <v>8709.9210000000003</v>
      </c>
      <c r="G16" s="25"/>
      <c r="H16" s="632" t="s">
        <v>304</v>
      </c>
      <c r="I16" s="648">
        <f>'Section 13 data country'!$U$51</f>
        <v>46181.748999999996</v>
      </c>
      <c r="J16" s="629">
        <f>'Section 13 data country'!$U$13</f>
        <v>52731.939999999995</v>
      </c>
      <c r="K16" s="629">
        <f t="shared" si="1"/>
        <v>18.860093410494265</v>
      </c>
      <c r="L16" s="628">
        <f t="shared" si="2"/>
        <v>16.517353619077927</v>
      </c>
    </row>
    <row r="17" spans="2:12" ht="15" customHeight="1" x14ac:dyDescent="0.2">
      <c r="B17" s="632" t="s">
        <v>291</v>
      </c>
      <c r="C17" s="650">
        <f>'Section 13 data country'!$Q$71</f>
        <v>56.975000000000001</v>
      </c>
      <c r="D17" s="650">
        <f>'Section 13 data country'!$R$71</f>
        <v>3187.1930000000002</v>
      </c>
      <c r="E17" s="880">
        <f>'Section 13 data country'!$S$71</f>
        <v>18.39</v>
      </c>
      <c r="F17" s="649">
        <f t="shared" si="0"/>
        <v>3244.1680000000001</v>
      </c>
      <c r="G17" s="25"/>
      <c r="H17" s="632" t="s">
        <v>291</v>
      </c>
      <c r="I17" s="648">
        <f>'Section 13 data country'!$U$52</f>
        <v>50374.337</v>
      </c>
      <c r="J17" s="629">
        <f>'Section 13 data country'!$U$14</f>
        <v>136668.861</v>
      </c>
      <c r="K17" s="629">
        <f t="shared" si="1"/>
        <v>6.4401204923054367</v>
      </c>
      <c r="L17" s="628">
        <f t="shared" si="2"/>
        <v>2.373743350359816</v>
      </c>
    </row>
    <row r="18" spans="2:12" ht="15" customHeight="1" x14ac:dyDescent="0.2">
      <c r="B18" s="632" t="s">
        <v>292</v>
      </c>
      <c r="C18" s="650">
        <f>'Section 13 data country'!$Q$72</f>
        <v>4901.0240000000003</v>
      </c>
      <c r="D18" s="650">
        <f>'Section 13 data country'!$R$72</f>
        <v>6730.5429999999997</v>
      </c>
      <c r="E18" s="880">
        <f>'Section 13 data country'!$S$72</f>
        <v>8.59</v>
      </c>
      <c r="F18" s="649">
        <f t="shared" si="0"/>
        <v>11631.566999999999</v>
      </c>
      <c r="G18" s="25"/>
      <c r="H18" s="632" t="s">
        <v>292</v>
      </c>
      <c r="I18" s="648">
        <f>'Section 13 data country'!$U$53</f>
        <v>108875.016</v>
      </c>
      <c r="J18" s="629">
        <f>'Section 13 data country'!$U$15</f>
        <v>127563.79300000001</v>
      </c>
      <c r="K18" s="629">
        <f t="shared" si="1"/>
        <v>10.683412436880834</v>
      </c>
      <c r="L18" s="628">
        <f t="shared" si="2"/>
        <v>9.1182354541621375</v>
      </c>
    </row>
    <row r="19" spans="2:12" ht="15" customHeight="1" x14ac:dyDescent="0.2">
      <c r="B19" s="632" t="s">
        <v>293</v>
      </c>
      <c r="C19" s="650">
        <f>'Section 13 data country'!$Q$73</f>
        <v>357.8</v>
      </c>
      <c r="D19" s="650">
        <f>'Section 13 data country'!$R$73</f>
        <v>7248.0349999999999</v>
      </c>
      <c r="E19" s="880">
        <f>'Section 13 data country'!$S$73</f>
        <v>13.23</v>
      </c>
      <c r="F19" s="649">
        <f t="shared" si="0"/>
        <v>7605.835</v>
      </c>
      <c r="G19" s="25"/>
      <c r="H19" s="632" t="s">
        <v>293</v>
      </c>
      <c r="I19" s="648">
        <f>'Section 13 data country'!$U$54</f>
        <v>82949.718999999997</v>
      </c>
      <c r="J19" s="629">
        <f>'Section 13 data country'!$U$16</f>
        <v>94267.02</v>
      </c>
      <c r="K19" s="629">
        <f t="shared" si="1"/>
        <v>9.1692112905168486</v>
      </c>
      <c r="L19" s="628">
        <f t="shared" si="2"/>
        <v>8.0683944395399365</v>
      </c>
    </row>
    <row r="20" spans="2:12" ht="15" customHeight="1" x14ac:dyDescent="0.2">
      <c r="B20" s="632" t="s">
        <v>294</v>
      </c>
      <c r="C20" s="650">
        <f>'Section 13 data country'!$Q$74</f>
        <v>3647.098</v>
      </c>
      <c r="D20" s="650">
        <f>'Section 13 data country'!$R$74</f>
        <v>6868.2489999999998</v>
      </c>
      <c r="E20" s="880">
        <f>'Section 13 data country'!$S$74</f>
        <v>14.15</v>
      </c>
      <c r="F20" s="649">
        <f t="shared" si="0"/>
        <v>10515.347</v>
      </c>
      <c r="G20" s="25"/>
      <c r="H20" s="632" t="s">
        <v>294</v>
      </c>
      <c r="I20" s="648">
        <f>'Section 13 data country'!$U$55</f>
        <v>90018.031000000003</v>
      </c>
      <c r="J20" s="629">
        <f>'Section 13 data country'!$U$17</f>
        <v>105231.709</v>
      </c>
      <c r="K20" s="629">
        <f t="shared" si="1"/>
        <v>11.681378589585012</v>
      </c>
      <c r="L20" s="628">
        <f t="shared" si="2"/>
        <v>9.9925650737079632</v>
      </c>
    </row>
    <row r="21" spans="2:12" ht="15" customHeight="1" x14ac:dyDescent="0.2">
      <c r="B21" s="632" t="s">
        <v>295</v>
      </c>
      <c r="C21" s="650">
        <f>'Section 13 data country'!$Q$75</f>
        <v>799.14700000000005</v>
      </c>
      <c r="D21" s="650">
        <f>'Section 13 data country'!$R$75</f>
        <v>9697.2340000000004</v>
      </c>
      <c r="E21" s="880">
        <f>'Section 13 data country'!$S$75</f>
        <v>10.14</v>
      </c>
      <c r="F21" s="649">
        <f t="shared" si="0"/>
        <v>10496.381000000001</v>
      </c>
      <c r="G21" s="25"/>
      <c r="H21" s="632" t="s">
        <v>295</v>
      </c>
      <c r="I21" s="648">
        <f>'Section 13 data country'!$U$56</f>
        <v>118195.003</v>
      </c>
      <c r="J21" s="629">
        <f>'Section 13 data country'!$U$18</f>
        <v>139638.38500000001</v>
      </c>
      <c r="K21" s="629">
        <f t="shared" si="1"/>
        <v>8.8805624041483391</v>
      </c>
      <c r="L21" s="628">
        <f t="shared" si="2"/>
        <v>7.5168307052534304</v>
      </c>
    </row>
    <row r="22" spans="2:12" ht="15" customHeight="1" x14ac:dyDescent="0.2">
      <c r="B22" s="624" t="s">
        <v>296</v>
      </c>
      <c r="C22" s="647">
        <f>'Section 13 data country'!$Q$76</f>
        <v>437.94900000000001</v>
      </c>
      <c r="D22" s="647">
        <f>'Section 13 data country'!$R$76</f>
        <v>7908.8159999999998</v>
      </c>
      <c r="E22" s="881">
        <f>'Section 13 data country'!$S$76</f>
        <v>12.25</v>
      </c>
      <c r="F22" s="646">
        <f t="shared" si="0"/>
        <v>8346.7649999999994</v>
      </c>
      <c r="G22" s="25"/>
      <c r="H22" s="624" t="s">
        <v>296</v>
      </c>
      <c r="I22" s="645">
        <f>'Section 13 data country'!$U$57</f>
        <v>78372.944000000003</v>
      </c>
      <c r="J22" s="621">
        <f>'Section 13 data country'!$U$19</f>
        <v>110045.046</v>
      </c>
      <c r="K22" s="621">
        <f t="shared" si="1"/>
        <v>10.65005928576576</v>
      </c>
      <c r="L22" s="620">
        <f t="shared" si="2"/>
        <v>7.5848621118300956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3287F6E-134B-4EFA-A461-A3556C4FBCC7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330B7FAA-91A5-4FA4-AA52-87F7C9140368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Index!$E$152</f>
        <v>Tree health - sweet chestnut</v>
      </c>
    </row>
  </sheetData>
  <hyperlinks>
    <hyperlink ref="A1" location="Index!B114" display="Return to index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theme="4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924</v>
      </c>
      <c r="C3" t="s">
        <v>412</v>
      </c>
    </row>
    <row r="5" spans="2:6" ht="15" customHeight="1" x14ac:dyDescent="0.2">
      <c r="B5" s="1147" t="s">
        <v>267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48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18"/>
      <c r="F7" s="92"/>
    </row>
    <row r="8" spans="2:6" ht="15" customHeight="1" x14ac:dyDescent="0.2">
      <c r="B8" s="99" t="s">
        <v>335</v>
      </c>
      <c r="C8" s="840">
        <f>'Section 14 data'!$C$13</f>
        <v>7.5310000000000002E-2</v>
      </c>
      <c r="D8" s="841">
        <f>'Section 14 data'!$D$13</f>
        <v>2.1047800000000003</v>
      </c>
      <c r="E8" s="205">
        <f>'Section 14 data'!$E$13</f>
        <v>22.06374116965296</v>
      </c>
      <c r="F8" s="842">
        <f>SUM(C8,D8)</f>
        <v>2.1800900000000003</v>
      </c>
    </row>
    <row r="9" spans="2:6" ht="15" customHeight="1" x14ac:dyDescent="0.2">
      <c r="B9" s="100" t="s">
        <v>336</v>
      </c>
      <c r="C9" s="840">
        <f>'Section 14 data'!$C$14</f>
        <v>9.4189999999999996E-2</v>
      </c>
      <c r="D9" s="841">
        <f>'Section 14 data'!$D$14</f>
        <v>2.7436500000000001</v>
      </c>
      <c r="E9" s="205">
        <f>'Section 14 data'!$E$14</f>
        <v>15.374024941473262</v>
      </c>
      <c r="F9" s="842">
        <f t="shared" ref="F9:F15" si="0">SUM(C9,D9)</f>
        <v>2.8378399999999999</v>
      </c>
    </row>
    <row r="10" spans="2:6" ht="15" customHeight="1" x14ac:dyDescent="0.2">
      <c r="B10" s="99" t="s">
        <v>337</v>
      </c>
      <c r="C10" s="840">
        <f>'Section 14 data'!$C$15</f>
        <v>0.16263</v>
      </c>
      <c r="D10" s="841">
        <f>'Section 14 data'!$D$15</f>
        <v>9.8006099999999989</v>
      </c>
      <c r="E10" s="205">
        <f>'Section 14 data'!$E$15</f>
        <v>11.395228275248465</v>
      </c>
      <c r="F10" s="842">
        <f t="shared" si="0"/>
        <v>9.963239999999999</v>
      </c>
    </row>
    <row r="11" spans="2:6" ht="15" customHeight="1" x14ac:dyDescent="0.2">
      <c r="B11" s="99" t="s">
        <v>338</v>
      </c>
      <c r="C11" s="840">
        <f>'Section 14 data'!$C$16</f>
        <v>0.17271000000000003</v>
      </c>
      <c r="D11" s="841">
        <f>'Section 14 data'!$D$16</f>
        <v>5.0425099999999992</v>
      </c>
      <c r="E11" s="205">
        <f>'Section 14 data'!$E$16</f>
        <v>13.804539601951893</v>
      </c>
      <c r="F11" s="842">
        <f t="shared" si="0"/>
        <v>5.2152199999999995</v>
      </c>
    </row>
    <row r="12" spans="2:6" ht="15" customHeight="1" x14ac:dyDescent="0.2">
      <c r="B12" s="99" t="s">
        <v>339</v>
      </c>
      <c r="C12" s="840">
        <f>'Section 14 data'!$C$17</f>
        <v>0.12427999999999999</v>
      </c>
      <c r="D12" s="841">
        <f>'Section 14 data'!$D$17</f>
        <v>4.2275500000000008</v>
      </c>
      <c r="E12" s="205">
        <f>'Section 14 data'!$E$17</f>
        <v>18.390820775403441</v>
      </c>
      <c r="F12" s="842">
        <f t="shared" si="0"/>
        <v>4.3518300000000005</v>
      </c>
    </row>
    <row r="13" spans="2:6" ht="15" customHeight="1" x14ac:dyDescent="0.2">
      <c r="B13" s="99" t="s">
        <v>340</v>
      </c>
      <c r="C13" s="840">
        <f>'Section 14 data'!$C$18</f>
        <v>0.10303000000000001</v>
      </c>
      <c r="D13" s="841">
        <f>'Section 14 data'!$D$18</f>
        <v>3.0848199999999997</v>
      </c>
      <c r="E13" s="205">
        <f>'Section 14 data'!$E$18</f>
        <v>18.919480936395512</v>
      </c>
      <c r="F13" s="842">
        <f t="shared" si="0"/>
        <v>3.1878499999999996</v>
      </c>
    </row>
    <row r="14" spans="2:6" ht="15" customHeight="1" x14ac:dyDescent="0.2">
      <c r="B14" s="99" t="s">
        <v>268</v>
      </c>
      <c r="C14" s="840">
        <f>'Section 14 data'!$C$19</f>
        <v>0.10076000000000002</v>
      </c>
      <c r="D14" s="841">
        <f>'Section 14 data'!$D$19</f>
        <v>2.26756</v>
      </c>
      <c r="E14" s="205">
        <f>'Section 14 data'!$E$19</f>
        <v>34.781732380634182</v>
      </c>
      <c r="F14" s="842">
        <f t="shared" si="0"/>
        <v>2.3683200000000002</v>
      </c>
    </row>
    <row r="15" spans="2:6" ht="15" customHeight="1" x14ac:dyDescent="0.2">
      <c r="B15" s="101" t="s">
        <v>80</v>
      </c>
      <c r="C15" s="102">
        <f>'Section 14 data'!C8</f>
        <v>0.8</v>
      </c>
      <c r="D15" s="102">
        <f>'Section 14 data'!D8</f>
        <v>29.271480000000004</v>
      </c>
      <c r="E15" s="321">
        <f>'Section 14 data'!$E$8</f>
        <v>7.1523689695188057</v>
      </c>
      <c r="F15" s="102">
        <f t="shared" si="0"/>
        <v>30.071480000000005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6A08E33-13BE-4C3E-8E4A-26F053EADB7E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80E807ED-6C4D-4862-9DF1-C479BF5AB224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theme="4" tint="0.59999389629810485"/>
  </sheetPr>
  <dimension ref="B3:F17"/>
  <sheetViews>
    <sheetView zoomScaleNormal="100"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935</v>
      </c>
      <c r="C3" t="s">
        <v>413</v>
      </c>
    </row>
    <row r="5" spans="2:6" ht="15" customHeight="1" x14ac:dyDescent="0.2">
      <c r="B5" s="1150" t="s">
        <v>269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51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93"/>
      <c r="F7" s="92"/>
    </row>
    <row r="8" spans="2:6" ht="15" customHeight="1" x14ac:dyDescent="0.2">
      <c r="B8" s="94" t="s">
        <v>341</v>
      </c>
      <c r="C8" s="836">
        <f>'Section 14 data'!$C$24</f>
        <v>0.23355999999999999</v>
      </c>
      <c r="D8" s="837">
        <f>'Section 14 data'!$D$24</f>
        <v>3.9387800000000004</v>
      </c>
      <c r="E8" s="205">
        <f>'Section 14 data'!$E$24</f>
        <v>16.373520448873396</v>
      </c>
      <c r="F8" s="838">
        <f>SUM(C8,D8)</f>
        <v>4.1723400000000002</v>
      </c>
    </row>
    <row r="9" spans="2:6" ht="15" customHeight="1" x14ac:dyDescent="0.2">
      <c r="B9" s="95" t="s">
        <v>342</v>
      </c>
      <c r="C9" s="836">
        <f>'Section 14 data'!$C$25</f>
        <v>0.10169999999999998</v>
      </c>
      <c r="D9" s="837">
        <f>'Section 14 data'!$D$25</f>
        <v>2.6866799999999995</v>
      </c>
      <c r="E9" s="205">
        <f>'Section 14 data'!$E$25</f>
        <v>19.572075999259116</v>
      </c>
      <c r="F9" s="838">
        <f t="shared" ref="F9:F17" si="0">SUM(C9,D9)</f>
        <v>2.7883799999999996</v>
      </c>
    </row>
    <row r="10" spans="2:6" ht="15" customHeight="1" x14ac:dyDescent="0.2">
      <c r="B10" s="96" t="s">
        <v>343</v>
      </c>
      <c r="C10" s="836">
        <f>'Section 14 data'!$C$26</f>
        <v>6.7330000000000015E-2</v>
      </c>
      <c r="D10" s="837">
        <f>'Section 14 data'!$D$26</f>
        <v>4.8667000000000007</v>
      </c>
      <c r="E10" s="205">
        <f>'Section 14 data'!$E$26</f>
        <v>16.318879298104662</v>
      </c>
      <c r="F10" s="838">
        <f t="shared" si="0"/>
        <v>4.9340300000000008</v>
      </c>
    </row>
    <row r="11" spans="2:6" ht="15" customHeight="1" x14ac:dyDescent="0.2">
      <c r="B11" s="94" t="s">
        <v>344</v>
      </c>
      <c r="C11" s="836">
        <f>'Section 14 data'!$C$27</f>
        <v>5.9789999999999996E-2</v>
      </c>
      <c r="D11" s="837">
        <f>'Section 14 data'!$D$27</f>
        <v>4.2242099999999994</v>
      </c>
      <c r="E11" s="205">
        <f>'Section 14 data'!$E$27</f>
        <v>14.735292946772461</v>
      </c>
      <c r="F11" s="838">
        <f t="shared" si="0"/>
        <v>4.2839999999999989</v>
      </c>
    </row>
    <row r="12" spans="2:6" ht="15" customHeight="1" x14ac:dyDescent="0.2">
      <c r="B12" s="94" t="s">
        <v>345</v>
      </c>
      <c r="C12" s="836">
        <f>'Section 14 data'!$C$28</f>
        <v>0.16465000000000002</v>
      </c>
      <c r="D12" s="837">
        <f>'Section 14 data'!$D$28</f>
        <v>4.1655500000000005</v>
      </c>
      <c r="E12" s="205">
        <f>'Section 14 data'!$E$28</f>
        <v>15.515610366821308</v>
      </c>
      <c r="F12" s="838">
        <f t="shared" si="0"/>
        <v>4.3302000000000005</v>
      </c>
    </row>
    <row r="13" spans="2:6" ht="15" customHeight="1" x14ac:dyDescent="0.2">
      <c r="B13" s="94" t="s">
        <v>346</v>
      </c>
      <c r="C13" s="836">
        <f>'Section 14 data'!$C$29</f>
        <v>0.11511999999999999</v>
      </c>
      <c r="D13" s="837">
        <f>'Section 14 data'!$D$29</f>
        <v>2.9557699999999998</v>
      </c>
      <c r="E13" s="205">
        <f>'Section 14 data'!$E$29</f>
        <v>17.921317535018062</v>
      </c>
      <c r="F13" s="838">
        <f t="shared" si="0"/>
        <v>3.0708899999999999</v>
      </c>
    </row>
    <row r="14" spans="2:6" ht="15" customHeight="1" x14ac:dyDescent="0.2">
      <c r="B14" s="94" t="s">
        <v>347</v>
      </c>
      <c r="C14" s="836">
        <f>'Section 14 data'!$C$30</f>
        <v>7.3200000000000001E-2</v>
      </c>
      <c r="D14" s="837">
        <f>'Section 14 data'!$D$30</f>
        <v>3.0426300000000004</v>
      </c>
      <c r="E14" s="205">
        <f>'Section 14 data'!$E$30</f>
        <v>16.383395275708207</v>
      </c>
      <c r="F14" s="838">
        <f t="shared" si="0"/>
        <v>3.1158300000000003</v>
      </c>
    </row>
    <row r="15" spans="2:6" ht="15" customHeight="1" x14ac:dyDescent="0.2">
      <c r="B15" s="94" t="s">
        <v>348</v>
      </c>
      <c r="C15" s="836">
        <f>'Section 14 data'!$C$31</f>
        <v>1.4920000000000001E-2</v>
      </c>
      <c r="D15" s="837">
        <f>'Section 14 data'!$D$31</f>
        <v>1.6923399999999997</v>
      </c>
      <c r="E15" s="205">
        <f>'Section 14 data'!$E$31</f>
        <v>37.114815504963353</v>
      </c>
      <c r="F15" s="838">
        <f t="shared" si="0"/>
        <v>1.7072599999999998</v>
      </c>
    </row>
    <row r="16" spans="2:6" ht="15" customHeight="1" x14ac:dyDescent="0.2">
      <c r="B16" s="94" t="s">
        <v>270</v>
      </c>
      <c r="C16" s="836">
        <f>'Section 14 data'!$C$32</f>
        <v>2.6700000000000001E-3</v>
      </c>
      <c r="D16" s="837">
        <f>'Section 14 data'!$D$32</f>
        <v>1.6988299999999998</v>
      </c>
      <c r="E16" s="205">
        <f>'Section 14 data'!$E$32</f>
        <v>43.182080355992845</v>
      </c>
      <c r="F16" s="838">
        <f t="shared" si="0"/>
        <v>1.7014999999999998</v>
      </c>
    </row>
    <row r="17" spans="2:6" ht="15" customHeight="1" x14ac:dyDescent="0.2">
      <c r="B17" s="97" t="s">
        <v>80</v>
      </c>
      <c r="C17" s="839">
        <f>'Section 14 data'!C8</f>
        <v>0.8</v>
      </c>
      <c r="D17" s="839">
        <f>'Section 14 data'!D8</f>
        <v>29.271480000000004</v>
      </c>
      <c r="E17" s="321">
        <f>'Section 14 data'!$E$8</f>
        <v>7.1523689695188057</v>
      </c>
      <c r="F17" s="839">
        <f t="shared" si="0"/>
        <v>30.071480000000005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DE77AD8-75E8-4E6C-964B-3B0AB7A7E00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B3C0FAEA-BB47-4492-9A50-8E3B1DD9C2EE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theme="4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936</v>
      </c>
      <c r="C3" t="s">
        <v>414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75" t="s">
        <v>326</v>
      </c>
      <c r="D6" s="75" t="s">
        <v>326</v>
      </c>
      <c r="E6" s="19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14 data'!$J$13</f>
        <v>0</v>
      </c>
      <c r="D8" s="829">
        <f>'Section 14 data'!$K$13</f>
        <v>0.14624999999999999</v>
      </c>
      <c r="E8" s="205">
        <f>'Section 14 data'!$L$13</f>
        <v>54.59</v>
      </c>
      <c r="F8" s="822">
        <f>SUM(C8,D8)</f>
        <v>0.14624999999999999</v>
      </c>
    </row>
    <row r="9" spans="2:6" ht="15" customHeight="1" x14ac:dyDescent="0.2">
      <c r="B9" s="82" t="s">
        <v>336</v>
      </c>
      <c r="C9" s="67">
        <f>'Section 14 data'!$J$14</f>
        <v>1.036</v>
      </c>
      <c r="D9" s="829">
        <f>'Section 14 data'!$K$14</f>
        <v>157.37589000000003</v>
      </c>
      <c r="E9" s="205">
        <f>'Section 14 data'!$L$14</f>
        <v>28.133452059846594</v>
      </c>
      <c r="F9" s="822">
        <f t="shared" ref="F9:F15" si="0">SUM(C9,D9)</f>
        <v>158.41189000000003</v>
      </c>
    </row>
    <row r="10" spans="2:6" ht="15" customHeight="1" x14ac:dyDescent="0.2">
      <c r="B10" s="81" t="s">
        <v>337</v>
      </c>
      <c r="C10" s="67">
        <f>'Section 14 data'!$J$15</f>
        <v>10.099</v>
      </c>
      <c r="D10" s="829">
        <f>'Section 14 data'!$K$15</f>
        <v>1930.2500400000001</v>
      </c>
      <c r="E10" s="205">
        <f>'Section 14 data'!$L$15</f>
        <v>15.789494228792242</v>
      </c>
      <c r="F10" s="822">
        <f t="shared" si="0"/>
        <v>1940.3490400000001</v>
      </c>
    </row>
    <row r="11" spans="2:6" ht="15" customHeight="1" x14ac:dyDescent="0.2">
      <c r="B11" s="81" t="s">
        <v>338</v>
      </c>
      <c r="C11" s="67">
        <f>'Section 14 data'!$J$16</f>
        <v>26.523000000000003</v>
      </c>
      <c r="D11" s="829">
        <f>'Section 14 data'!$K$16</f>
        <v>1622.9231499999999</v>
      </c>
      <c r="E11" s="205">
        <f>'Section 14 data'!$L$16</f>
        <v>17.591071325015594</v>
      </c>
      <c r="F11" s="822">
        <f t="shared" si="0"/>
        <v>1649.4461499999998</v>
      </c>
    </row>
    <row r="12" spans="2:6" ht="15" customHeight="1" x14ac:dyDescent="0.2">
      <c r="B12" s="81" t="s">
        <v>339</v>
      </c>
      <c r="C12" s="67">
        <f>'Section 14 data'!$J$17</f>
        <v>29.518000000000001</v>
      </c>
      <c r="D12" s="829">
        <f>'Section 14 data'!$K$17</f>
        <v>1668.7123200000001</v>
      </c>
      <c r="E12" s="205">
        <f>'Section 14 data'!$L$17</f>
        <v>17.00617273005572</v>
      </c>
      <c r="F12" s="822">
        <f t="shared" si="0"/>
        <v>1698.2303200000001</v>
      </c>
    </row>
    <row r="13" spans="2:6" ht="15" customHeight="1" x14ac:dyDescent="0.2">
      <c r="B13" s="81" t="s">
        <v>340</v>
      </c>
      <c r="C13" s="67">
        <f>'Section 14 data'!$J$18</f>
        <v>26.606000000000002</v>
      </c>
      <c r="D13" s="829">
        <f>'Section 14 data'!$K$18</f>
        <v>1116.5983700000002</v>
      </c>
      <c r="E13" s="205">
        <f>'Section 14 data'!$L$18</f>
        <v>23.355454785206074</v>
      </c>
      <c r="F13" s="822">
        <f t="shared" si="0"/>
        <v>1143.2043700000002</v>
      </c>
    </row>
    <row r="14" spans="2:6" ht="15" customHeight="1" x14ac:dyDescent="0.2">
      <c r="B14" s="81" t="s">
        <v>268</v>
      </c>
      <c r="C14" s="67">
        <f>'Section 14 data'!$J$19</f>
        <v>32.856999999999999</v>
      </c>
      <c r="D14" s="829">
        <f>'Section 14 data'!$K$19</f>
        <v>915.42360999999994</v>
      </c>
      <c r="E14" s="205">
        <f>'Section 14 data'!$L$19</f>
        <v>33.269890908784582</v>
      </c>
      <c r="F14" s="822">
        <f t="shared" si="0"/>
        <v>948.28060999999991</v>
      </c>
    </row>
    <row r="15" spans="2:6" ht="15" customHeight="1" x14ac:dyDescent="0.2">
      <c r="B15" s="83" t="s">
        <v>80</v>
      </c>
      <c r="C15" s="830">
        <f>'Section 14 data'!$J$8</f>
        <v>126.63800000000001</v>
      </c>
      <c r="D15" s="830">
        <f>'Section 14 data'!$K$8</f>
        <v>7944.4719999999998</v>
      </c>
      <c r="E15" s="321">
        <f>'Section 14 data'!$L$8</f>
        <v>8.6048188787624422</v>
      </c>
      <c r="F15" s="831">
        <f t="shared" si="0"/>
        <v>8071.11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7F727BF-B635-4F90-A591-68CCCFDBD254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6D515B07-DA54-4F49-90A1-C30B2D60075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theme="4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937</v>
      </c>
      <c r="C3" t="s">
        <v>415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326</v>
      </c>
      <c r="D6" s="75" t="s">
        <v>326</v>
      </c>
      <c r="E6" s="21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2"/>
      <c r="F7" s="71"/>
    </row>
    <row r="8" spans="2:6" ht="15" customHeight="1" x14ac:dyDescent="0.2">
      <c r="B8" s="78" t="s">
        <v>341</v>
      </c>
      <c r="C8" s="67">
        <f>'Section 14 data'!$J$24</f>
        <v>2.6859999999999999</v>
      </c>
      <c r="D8" s="85">
        <f>'Section 14 data'!$K$24</f>
        <v>46.295999999999999</v>
      </c>
      <c r="E8" s="205">
        <f>'Section 14 data'!$L$24</f>
        <v>39.654035313322872</v>
      </c>
      <c r="F8" s="822">
        <f>SUM(C8,D8)</f>
        <v>48.981999999999999</v>
      </c>
    </row>
    <row r="9" spans="2:6" ht="15" customHeight="1" x14ac:dyDescent="0.2">
      <c r="B9" s="79" t="s">
        <v>342</v>
      </c>
      <c r="C9" s="67">
        <f>'Section 14 data'!$J$25</f>
        <v>8.1300000000000008</v>
      </c>
      <c r="D9" s="85">
        <f>'Section 14 data'!$K$25</f>
        <v>239.327</v>
      </c>
      <c r="E9" s="205">
        <f>'Section 14 data'!$L$25</f>
        <v>8.4208294756929565</v>
      </c>
      <c r="F9" s="822">
        <f t="shared" ref="F9:F17" si="0">SUM(C9,D9)</f>
        <v>247.45699999999999</v>
      </c>
    </row>
    <row r="10" spans="2:6" ht="15" customHeight="1" x14ac:dyDescent="0.2">
      <c r="B10" s="80" t="s">
        <v>343</v>
      </c>
      <c r="C10" s="67">
        <f>'Section 14 data'!$J$26</f>
        <v>8.2390000000000008</v>
      </c>
      <c r="D10" s="85">
        <f>'Section 14 data'!$K$26</f>
        <v>793.572</v>
      </c>
      <c r="E10" s="205">
        <f>'Section 14 data'!$L$26</f>
        <v>8.9593384204022524</v>
      </c>
      <c r="F10" s="822">
        <f t="shared" si="0"/>
        <v>801.81100000000004</v>
      </c>
    </row>
    <row r="11" spans="2:6" ht="15" customHeight="1" x14ac:dyDescent="0.2">
      <c r="B11" s="78" t="s">
        <v>344</v>
      </c>
      <c r="C11" s="67">
        <f>'Section 14 data'!$J$27</f>
        <v>12.055999999999999</v>
      </c>
      <c r="D11" s="85">
        <f>'Section 14 data'!$K$27</f>
        <v>1200.3440000000001</v>
      </c>
      <c r="E11" s="205">
        <f>'Section 14 data'!$L$27</f>
        <v>11.188706588614403</v>
      </c>
      <c r="F11" s="822">
        <f t="shared" si="0"/>
        <v>1212.4000000000001</v>
      </c>
    </row>
    <row r="12" spans="2:6" ht="15" customHeight="1" x14ac:dyDescent="0.2">
      <c r="B12" s="78" t="s">
        <v>345</v>
      </c>
      <c r="C12" s="67">
        <f>'Section 14 data'!$J$28</f>
        <v>40.307000000000002</v>
      </c>
      <c r="D12" s="85">
        <f>'Section 14 data'!$K$28</f>
        <v>1275.367</v>
      </c>
      <c r="E12" s="205">
        <f>'Section 14 data'!$L$28</f>
        <v>8.6757030784887714</v>
      </c>
      <c r="F12" s="822">
        <f t="shared" si="0"/>
        <v>1315.674</v>
      </c>
    </row>
    <row r="13" spans="2:6" ht="15" customHeight="1" x14ac:dyDescent="0.2">
      <c r="B13" s="78" t="s">
        <v>346</v>
      </c>
      <c r="C13" s="67">
        <f>'Section 14 data'!$J$29</f>
        <v>31.457999999999998</v>
      </c>
      <c r="D13" s="85">
        <f>'Section 14 data'!$K$29</f>
        <v>1170.3409999999999</v>
      </c>
      <c r="E13" s="205">
        <f>'Section 14 data'!$L$29</f>
        <v>13.230958109302129</v>
      </c>
      <c r="F13" s="822">
        <f t="shared" si="0"/>
        <v>1201.799</v>
      </c>
    </row>
    <row r="14" spans="2:6" ht="15" customHeight="1" x14ac:dyDescent="0.2">
      <c r="B14" s="78" t="s">
        <v>347</v>
      </c>
      <c r="C14" s="67">
        <f>'Section 14 data'!$J$30</f>
        <v>19.645</v>
      </c>
      <c r="D14" s="85">
        <f>'Section 14 data'!$K$30</f>
        <v>1532.404</v>
      </c>
      <c r="E14" s="205">
        <f>'Section 14 data'!$L$30</f>
        <v>12.429279346640705</v>
      </c>
      <c r="F14" s="822">
        <f t="shared" si="0"/>
        <v>1552.049</v>
      </c>
    </row>
    <row r="15" spans="2:6" ht="15" customHeight="1" x14ac:dyDescent="0.2">
      <c r="B15" s="78" t="s">
        <v>348</v>
      </c>
      <c r="C15" s="67">
        <f>'Section 14 data'!$J$31</f>
        <v>3.4009999999999998</v>
      </c>
      <c r="D15" s="85">
        <f>'Section 14 data'!$K$31</f>
        <v>632.07299999999998</v>
      </c>
      <c r="E15" s="205">
        <f>'Section 14 data'!$L$31</f>
        <v>28.905075046526353</v>
      </c>
      <c r="F15" s="822">
        <f t="shared" si="0"/>
        <v>635.47399999999993</v>
      </c>
    </row>
    <row r="16" spans="2:6" ht="15" customHeight="1" x14ac:dyDescent="0.2">
      <c r="B16" s="78" t="s">
        <v>270</v>
      </c>
      <c r="C16" s="67">
        <f>'Section 14 data'!$J$32</f>
        <v>0.71699999999999997</v>
      </c>
      <c r="D16" s="85">
        <f>'Section 14 data'!$K$32</f>
        <v>1054.749</v>
      </c>
      <c r="E16" s="205">
        <f>'Section 14 data'!$L$32</f>
        <v>28.805306706827132</v>
      </c>
      <c r="F16" s="822">
        <f t="shared" si="0"/>
        <v>1055.4660000000001</v>
      </c>
    </row>
    <row r="17" spans="2:6" ht="15" customHeight="1" x14ac:dyDescent="0.2">
      <c r="B17" s="86" t="s">
        <v>80</v>
      </c>
      <c r="C17" s="87">
        <f>'Section 14 data'!$J$8</f>
        <v>126.63800000000001</v>
      </c>
      <c r="D17" s="87">
        <f>'Section 14 data'!$K$8</f>
        <v>7944.4719999999998</v>
      </c>
      <c r="E17" s="321">
        <f>'Section 14 data'!$L$8</f>
        <v>8.6048188787624422</v>
      </c>
      <c r="F17" s="87">
        <f t="shared" si="0"/>
        <v>8071.11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16303C3-85FE-4D4C-972D-0333264D8915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151D10DF-8E1F-4A32-B618-E3F2B22ABD53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3:AJ80"/>
  <sheetViews>
    <sheetView zoomScale="70" zoomScaleNormal="70" workbookViewId="0"/>
  </sheetViews>
  <sheetFormatPr defaultRowHeight="15" customHeight="1" x14ac:dyDescent="0.2"/>
  <cols>
    <col min="2" max="2" width="39.125" bestFit="1" customWidth="1"/>
    <col min="3" max="24" width="12.625" customWidth="1"/>
    <col min="25" max="25" width="8.75" customWidth="1"/>
    <col min="26" max="36" width="12.625" customWidth="1"/>
  </cols>
  <sheetData>
    <row r="3" spans="2:13" ht="15" customHeight="1" x14ac:dyDescent="0.2">
      <c r="B3" s="1015" t="s">
        <v>92</v>
      </c>
      <c r="C3" s="733" t="s">
        <v>332</v>
      </c>
      <c r="D3" s="733" t="s">
        <v>222</v>
      </c>
      <c r="E3" s="733" t="s">
        <v>225</v>
      </c>
      <c r="F3" s="733" t="s">
        <v>226</v>
      </c>
      <c r="G3" s="733" t="s">
        <v>227</v>
      </c>
      <c r="H3" s="733" t="s">
        <v>228</v>
      </c>
      <c r="I3" s="733"/>
      <c r="J3" s="733"/>
      <c r="K3" s="733"/>
      <c r="L3" s="733"/>
      <c r="M3" s="733"/>
    </row>
    <row r="4" spans="2:13" ht="15" customHeight="1" x14ac:dyDescent="0.2">
      <c r="B4" s="1016"/>
      <c r="C4" s="732" t="s">
        <v>78</v>
      </c>
      <c r="D4" s="732" t="s">
        <v>78</v>
      </c>
      <c r="E4" s="732" t="s">
        <v>78</v>
      </c>
      <c r="F4" s="732" t="s">
        <v>78</v>
      </c>
      <c r="G4" s="732" t="s">
        <v>78</v>
      </c>
      <c r="H4" s="732" t="s">
        <v>78</v>
      </c>
      <c r="I4" s="732"/>
      <c r="J4" s="732"/>
      <c r="K4" s="732"/>
      <c r="L4" s="732"/>
      <c r="M4" s="734"/>
    </row>
    <row r="5" spans="2:13" ht="30" customHeight="1" thickBot="1" x14ac:dyDescent="0.25">
      <c r="B5" s="1017"/>
      <c r="C5" s="735" t="s">
        <v>326</v>
      </c>
      <c r="D5" s="735" t="s">
        <v>326</v>
      </c>
      <c r="E5" s="735" t="s">
        <v>326</v>
      </c>
      <c r="F5" s="735" t="s">
        <v>326</v>
      </c>
      <c r="G5" s="735" t="s">
        <v>326</v>
      </c>
      <c r="H5" s="735" t="s">
        <v>326</v>
      </c>
      <c r="I5" s="735"/>
      <c r="J5" s="735"/>
      <c r="K5" s="735"/>
      <c r="L5" s="735"/>
      <c r="M5" s="735"/>
    </row>
    <row r="6" spans="2:13" ht="15" customHeight="1" x14ac:dyDescent="0.2">
      <c r="B6" s="736" t="s">
        <v>721</v>
      </c>
      <c r="C6" s="737">
        <v>1357.6379999999999</v>
      </c>
      <c r="D6" s="737">
        <v>1151.4490000000001</v>
      </c>
      <c r="E6" s="737">
        <v>1122.9359999999999</v>
      </c>
      <c r="F6" s="737">
        <v>1146.115</v>
      </c>
      <c r="G6" s="737">
        <v>1094.79</v>
      </c>
      <c r="H6" s="737">
        <v>1100.3589999999999</v>
      </c>
      <c r="I6" s="737"/>
      <c r="J6" s="737"/>
      <c r="K6" s="737"/>
      <c r="L6" s="737"/>
      <c r="M6" s="738"/>
    </row>
    <row r="7" spans="2:13" ht="15" customHeight="1" x14ac:dyDescent="0.2">
      <c r="B7" s="739" t="s">
        <v>286</v>
      </c>
      <c r="C7" s="740">
        <v>169.035</v>
      </c>
      <c r="D7" s="740">
        <v>120.30500000000001</v>
      </c>
      <c r="E7" s="740">
        <v>143.113</v>
      </c>
      <c r="F7" s="740">
        <v>145.471</v>
      </c>
      <c r="G7" s="740">
        <v>109.753</v>
      </c>
      <c r="H7" s="740">
        <v>130.58199999999999</v>
      </c>
      <c r="I7" s="740"/>
      <c r="J7" s="740"/>
      <c r="K7" s="740"/>
      <c r="L7" s="740"/>
      <c r="M7" s="741"/>
    </row>
    <row r="8" spans="2:13" ht="15" customHeight="1" x14ac:dyDescent="0.2">
      <c r="B8" s="739" t="s">
        <v>307</v>
      </c>
      <c r="C8" s="740">
        <v>75.849000000000004</v>
      </c>
      <c r="D8" s="740">
        <v>72.099999999999994</v>
      </c>
      <c r="E8" s="740">
        <v>72.724000000000004</v>
      </c>
      <c r="F8" s="740">
        <v>92.063000000000002</v>
      </c>
      <c r="G8" s="740">
        <v>76.516999999999996</v>
      </c>
      <c r="H8" s="740">
        <v>89.004999999999995</v>
      </c>
      <c r="I8" s="740"/>
      <c r="J8" s="740"/>
      <c r="K8" s="740"/>
      <c r="L8" s="740"/>
      <c r="M8" s="741"/>
    </row>
    <row r="9" spans="2:13" ht="15" customHeight="1" x14ac:dyDescent="0.2">
      <c r="B9" s="739" t="s">
        <v>287</v>
      </c>
      <c r="C9" s="740">
        <v>168.267</v>
      </c>
      <c r="D9" s="740">
        <v>149.68100000000001</v>
      </c>
      <c r="E9" s="740">
        <v>142.75700000000001</v>
      </c>
      <c r="F9" s="740">
        <v>163.97300000000001</v>
      </c>
      <c r="G9" s="740">
        <v>163.97300000000001</v>
      </c>
      <c r="H9" s="740">
        <v>169.017</v>
      </c>
      <c r="I9" s="740"/>
      <c r="J9" s="740"/>
      <c r="K9" s="740"/>
      <c r="L9" s="740"/>
      <c r="M9" s="741"/>
    </row>
    <row r="10" spans="2:13" ht="15" customHeight="1" x14ac:dyDescent="0.2">
      <c r="B10" s="739" t="s">
        <v>288</v>
      </c>
      <c r="C10" s="740">
        <v>47.417000000000002</v>
      </c>
      <c r="D10" s="740">
        <v>51.014000000000003</v>
      </c>
      <c r="E10" s="740">
        <v>45.317</v>
      </c>
      <c r="F10" s="740">
        <v>38.831000000000003</v>
      </c>
      <c r="G10" s="740">
        <v>47.055999999999997</v>
      </c>
      <c r="H10" s="740">
        <v>33.167999999999999</v>
      </c>
      <c r="I10" s="740"/>
      <c r="J10" s="740"/>
      <c r="K10" s="740"/>
      <c r="L10" s="740"/>
      <c r="M10" s="741"/>
    </row>
    <row r="11" spans="2:13" ht="15" customHeight="1" x14ac:dyDescent="0.2">
      <c r="B11" s="739" t="s">
        <v>305</v>
      </c>
      <c r="C11" s="740">
        <v>2.827</v>
      </c>
      <c r="D11" s="740">
        <v>7.97</v>
      </c>
      <c r="E11" s="740">
        <v>6.3460000000000001</v>
      </c>
      <c r="F11" s="740">
        <v>4.5709999999999997</v>
      </c>
      <c r="G11" s="740">
        <v>5.9619999999999997</v>
      </c>
      <c r="H11" s="740">
        <v>5.3179999999999996</v>
      </c>
      <c r="I11" s="740"/>
      <c r="J11" s="740"/>
      <c r="K11" s="740"/>
      <c r="L11" s="740"/>
      <c r="M11" s="741"/>
    </row>
    <row r="12" spans="2:13" ht="15" customHeight="1" x14ac:dyDescent="0.2">
      <c r="B12" s="739" t="s">
        <v>289</v>
      </c>
      <c r="C12" s="740">
        <v>0.47899999999999998</v>
      </c>
      <c r="D12" s="740">
        <v>0.64900000000000002</v>
      </c>
      <c r="E12" s="740">
        <v>0.48699999999999999</v>
      </c>
      <c r="F12" s="740">
        <v>1.6120000000000001</v>
      </c>
      <c r="G12" s="740">
        <v>2.3420000000000001</v>
      </c>
      <c r="H12" s="740">
        <v>8.0280000000000005</v>
      </c>
      <c r="I12" s="740"/>
      <c r="J12" s="740"/>
      <c r="K12" s="740"/>
      <c r="L12" s="740"/>
      <c r="M12" s="741"/>
    </row>
    <row r="13" spans="2:13" ht="15" customHeight="1" x14ac:dyDescent="0.2">
      <c r="B13" s="739" t="s">
        <v>306</v>
      </c>
      <c r="C13" s="740">
        <v>13.311999999999999</v>
      </c>
      <c r="D13" s="740">
        <v>15.592000000000001</v>
      </c>
      <c r="E13" s="740">
        <v>13.680999999999999</v>
      </c>
      <c r="F13" s="740">
        <v>18.491</v>
      </c>
      <c r="G13" s="740">
        <v>19.349</v>
      </c>
      <c r="H13" s="740">
        <v>25.274999999999999</v>
      </c>
      <c r="I13" s="740"/>
      <c r="J13" s="740"/>
      <c r="K13" s="740"/>
      <c r="L13" s="740"/>
      <c r="M13" s="741"/>
    </row>
    <row r="14" spans="2:13" ht="15" customHeight="1" x14ac:dyDescent="0.2">
      <c r="B14" s="739" t="s">
        <v>290</v>
      </c>
      <c r="C14" s="740">
        <v>27.157</v>
      </c>
      <c r="D14" s="740">
        <v>18.818000000000001</v>
      </c>
      <c r="E14" s="740">
        <v>21.478999999999999</v>
      </c>
      <c r="F14" s="740">
        <v>25.933</v>
      </c>
      <c r="G14" s="740">
        <v>23.922000000000001</v>
      </c>
      <c r="H14" s="740">
        <v>20.381</v>
      </c>
      <c r="I14" s="740"/>
      <c r="J14" s="740"/>
      <c r="K14" s="740"/>
      <c r="L14" s="740"/>
      <c r="M14" s="741"/>
    </row>
    <row r="15" spans="2:13" ht="15" customHeight="1" x14ac:dyDescent="0.2">
      <c r="B15" s="739" t="s">
        <v>291</v>
      </c>
      <c r="C15" s="740">
        <v>531.601</v>
      </c>
      <c r="D15" s="740">
        <v>364.50599999999997</v>
      </c>
      <c r="E15" s="740">
        <v>306.07900000000001</v>
      </c>
      <c r="F15" s="740">
        <v>284.392</v>
      </c>
      <c r="G15" s="740">
        <v>284.07400000000001</v>
      </c>
      <c r="H15" s="740">
        <v>239.82499999999999</v>
      </c>
      <c r="I15" s="740"/>
      <c r="J15" s="740"/>
      <c r="K15" s="740"/>
      <c r="L15" s="740"/>
      <c r="M15" s="741"/>
    </row>
    <row r="16" spans="2:13" ht="15" customHeight="1" x14ac:dyDescent="0.2">
      <c r="B16" s="739" t="s">
        <v>292</v>
      </c>
      <c r="C16" s="740">
        <v>45.831000000000003</v>
      </c>
      <c r="D16" s="740">
        <v>60.098999999999997</v>
      </c>
      <c r="E16" s="740">
        <v>50.536000000000001</v>
      </c>
      <c r="F16" s="740">
        <v>60.746000000000002</v>
      </c>
      <c r="G16" s="740">
        <v>62.706000000000003</v>
      </c>
      <c r="H16" s="740">
        <v>74.778000000000006</v>
      </c>
      <c r="I16" s="740"/>
      <c r="J16" s="740"/>
      <c r="K16" s="740"/>
      <c r="L16" s="740"/>
      <c r="M16" s="741"/>
    </row>
    <row r="17" spans="2:36" ht="15" customHeight="1" x14ac:dyDescent="0.2">
      <c r="B17" s="739" t="s">
        <v>293</v>
      </c>
      <c r="C17" s="740">
        <v>6.26</v>
      </c>
      <c r="D17" s="740">
        <v>7.4960000000000004</v>
      </c>
      <c r="E17" s="740">
        <v>7.3289999999999997</v>
      </c>
      <c r="F17" s="740">
        <v>5.2220000000000004</v>
      </c>
      <c r="G17" s="740">
        <v>6.5110000000000001</v>
      </c>
      <c r="H17" s="740">
        <v>18.823</v>
      </c>
      <c r="I17" s="740"/>
      <c r="J17" s="740"/>
      <c r="K17" s="740"/>
      <c r="L17" s="740"/>
      <c r="M17" s="741"/>
    </row>
    <row r="18" spans="2:36" ht="15" customHeight="1" x14ac:dyDescent="0.2">
      <c r="B18" s="739" t="s">
        <v>294</v>
      </c>
      <c r="C18" s="740">
        <v>49.295000000000002</v>
      </c>
      <c r="D18" s="740">
        <v>49.463000000000001</v>
      </c>
      <c r="E18" s="740">
        <v>51.792000000000002</v>
      </c>
      <c r="F18" s="740">
        <v>62.314999999999998</v>
      </c>
      <c r="G18" s="740">
        <v>53.054000000000002</v>
      </c>
      <c r="H18" s="740">
        <v>60.503999999999998</v>
      </c>
      <c r="I18" s="740"/>
      <c r="J18" s="740"/>
      <c r="K18" s="740"/>
      <c r="L18" s="740"/>
      <c r="M18" s="741"/>
    </row>
    <row r="19" spans="2:36" ht="15" customHeight="1" x14ac:dyDescent="0.2">
      <c r="B19" s="739" t="s">
        <v>295</v>
      </c>
      <c r="C19" s="740">
        <v>119.86199999999999</v>
      </c>
      <c r="D19" s="740">
        <v>129.88900000000001</v>
      </c>
      <c r="E19" s="740">
        <v>145.24</v>
      </c>
      <c r="F19" s="740">
        <v>143.47499999999999</v>
      </c>
      <c r="G19" s="740">
        <v>128.51900000000001</v>
      </c>
      <c r="H19" s="740">
        <v>131.70500000000001</v>
      </c>
      <c r="I19" s="740"/>
      <c r="J19" s="740"/>
      <c r="K19" s="740"/>
      <c r="L19" s="740"/>
      <c r="M19" s="741"/>
    </row>
    <row r="20" spans="2:36" ht="15" customHeight="1" thickBot="1" x14ac:dyDescent="0.25">
      <c r="B20" s="742" t="s">
        <v>296</v>
      </c>
      <c r="C20" s="743">
        <v>100.446</v>
      </c>
      <c r="D20" s="743">
        <v>103.867</v>
      </c>
      <c r="E20" s="743">
        <v>116.056</v>
      </c>
      <c r="F20" s="743">
        <v>99.02</v>
      </c>
      <c r="G20" s="743">
        <v>111.05200000000001</v>
      </c>
      <c r="H20" s="743">
        <v>93.95</v>
      </c>
      <c r="I20" s="743"/>
      <c r="J20" s="743"/>
      <c r="K20" s="743"/>
      <c r="L20" s="743"/>
      <c r="M20" s="744"/>
    </row>
    <row r="23" spans="2:36" ht="15" customHeight="1" x14ac:dyDescent="0.2">
      <c r="B23" s="1015" t="s">
        <v>92</v>
      </c>
      <c r="C23" s="1018" t="s">
        <v>332</v>
      </c>
      <c r="D23" s="1021"/>
      <c r="E23" s="1018" t="s">
        <v>222</v>
      </c>
      <c r="F23" s="1021"/>
      <c r="G23" s="1018" t="s">
        <v>225</v>
      </c>
      <c r="H23" s="1021"/>
      <c r="I23" s="1018" t="s">
        <v>226</v>
      </c>
      <c r="J23" s="1021"/>
      <c r="K23" s="1018" t="s">
        <v>227</v>
      </c>
      <c r="L23" s="1021"/>
      <c r="M23" s="1018" t="s">
        <v>228</v>
      </c>
      <c r="N23" s="1021"/>
      <c r="O23" s="1018" t="s">
        <v>333</v>
      </c>
      <c r="P23" s="1021"/>
      <c r="Q23" s="1018" t="s">
        <v>334</v>
      </c>
      <c r="R23" s="1021"/>
      <c r="S23" s="1018" t="s">
        <v>231</v>
      </c>
      <c r="T23" s="1021"/>
      <c r="U23" s="1018" t="s">
        <v>232</v>
      </c>
      <c r="V23" s="1021"/>
      <c r="W23" s="1018" t="s">
        <v>233</v>
      </c>
      <c r="X23" s="1019"/>
      <c r="Z23" s="745" t="s">
        <v>332</v>
      </c>
      <c r="AA23" s="733" t="s">
        <v>222</v>
      </c>
      <c r="AB23" s="733" t="s">
        <v>225</v>
      </c>
      <c r="AC23" s="733" t="s">
        <v>226</v>
      </c>
      <c r="AD23" s="733" t="s">
        <v>227</v>
      </c>
      <c r="AE23" s="733" t="s">
        <v>228</v>
      </c>
      <c r="AF23" s="733" t="s">
        <v>333</v>
      </c>
      <c r="AG23" s="733" t="s">
        <v>334</v>
      </c>
      <c r="AH23" s="733" t="s">
        <v>231</v>
      </c>
      <c r="AI23" s="733" t="s">
        <v>232</v>
      </c>
      <c r="AJ23" s="733" t="s">
        <v>233</v>
      </c>
    </row>
    <row r="24" spans="2:36" ht="15" customHeight="1" x14ac:dyDescent="0.2">
      <c r="B24" s="1016"/>
      <c r="C24" s="1013" t="s">
        <v>79</v>
      </c>
      <c r="D24" s="1020"/>
      <c r="E24" s="1013" t="s">
        <v>79</v>
      </c>
      <c r="F24" s="1020"/>
      <c r="G24" s="1013" t="s">
        <v>79</v>
      </c>
      <c r="H24" s="1020"/>
      <c r="I24" s="1013" t="s">
        <v>79</v>
      </c>
      <c r="J24" s="1020"/>
      <c r="K24" s="1013" t="s">
        <v>79</v>
      </c>
      <c r="L24" s="1020"/>
      <c r="M24" s="1013" t="s">
        <v>79</v>
      </c>
      <c r="N24" s="1020"/>
      <c r="O24" s="1013"/>
      <c r="P24" s="1020"/>
      <c r="Q24" s="1013"/>
      <c r="R24" s="1020"/>
      <c r="S24" s="1013"/>
      <c r="T24" s="1020"/>
      <c r="U24" s="1013"/>
      <c r="V24" s="1020"/>
      <c r="W24" s="1013"/>
      <c r="X24" s="1014"/>
      <c r="Z24" s="745"/>
      <c r="AA24" s="733"/>
      <c r="AB24" s="733"/>
      <c r="AC24" s="733"/>
      <c r="AD24" s="733"/>
      <c r="AE24" s="733"/>
      <c r="AF24" s="733"/>
      <c r="AG24" s="733"/>
      <c r="AH24" s="733"/>
      <c r="AI24" s="733"/>
      <c r="AJ24" s="733"/>
    </row>
    <row r="25" spans="2:36" ht="30" customHeight="1" thickBot="1" x14ac:dyDescent="0.25">
      <c r="B25" s="1017"/>
      <c r="C25" s="746"/>
      <c r="D25" s="747" t="s">
        <v>82</v>
      </c>
      <c r="E25" s="746"/>
      <c r="F25" s="748" t="s">
        <v>82</v>
      </c>
      <c r="G25" s="746"/>
      <c r="H25" s="748" t="s">
        <v>82</v>
      </c>
      <c r="I25" s="746"/>
      <c r="J25" s="748" t="s">
        <v>82</v>
      </c>
      <c r="K25" s="746"/>
      <c r="L25" s="748" t="s">
        <v>82</v>
      </c>
      <c r="M25" s="746"/>
      <c r="N25" s="748" t="s">
        <v>82</v>
      </c>
      <c r="O25" s="746"/>
      <c r="P25" s="748"/>
      <c r="Q25" s="746"/>
      <c r="R25" s="748"/>
      <c r="S25" s="746"/>
      <c r="T25" s="748"/>
      <c r="U25" s="746"/>
      <c r="V25" s="748"/>
      <c r="W25" s="749"/>
      <c r="X25" s="747"/>
      <c r="Z25" s="656" t="s">
        <v>310</v>
      </c>
      <c r="AA25" s="657" t="s">
        <v>310</v>
      </c>
      <c r="AB25" s="657" t="s">
        <v>310</v>
      </c>
      <c r="AC25" s="657" t="s">
        <v>310</v>
      </c>
      <c r="AD25" s="657" t="s">
        <v>310</v>
      </c>
      <c r="AE25" s="657" t="s">
        <v>310</v>
      </c>
      <c r="AF25" s="657" t="s">
        <v>310</v>
      </c>
      <c r="AG25" s="657" t="s">
        <v>310</v>
      </c>
      <c r="AH25" s="657" t="s">
        <v>310</v>
      </c>
      <c r="AI25" s="657" t="s">
        <v>310</v>
      </c>
      <c r="AJ25" s="657" t="s">
        <v>310</v>
      </c>
    </row>
    <row r="26" spans="2:36" ht="15" customHeight="1" x14ac:dyDescent="0.2">
      <c r="B26" s="736" t="s">
        <v>721</v>
      </c>
      <c r="C26" s="737">
        <v>2957.9369999999999</v>
      </c>
      <c r="D26" s="750">
        <v>4.9175326735365372</v>
      </c>
      <c r="E26" s="737">
        <v>3264.904</v>
      </c>
      <c r="F26" s="750">
        <v>4.7723267050589984</v>
      </c>
      <c r="G26" s="737">
        <v>2956.4490000000001</v>
      </c>
      <c r="H26" s="750">
        <v>5.0877422572868625</v>
      </c>
      <c r="I26" s="737">
        <v>3052.6990000000001</v>
      </c>
      <c r="J26" s="750">
        <v>5.1812754658331821</v>
      </c>
      <c r="K26" s="737">
        <v>2910.4050000000002</v>
      </c>
      <c r="L26" s="750">
        <v>5.8810833804531484</v>
      </c>
      <c r="M26" s="737">
        <v>2272.7440000000001</v>
      </c>
      <c r="N26" s="750">
        <v>6.3794291254089313</v>
      </c>
      <c r="O26" s="737"/>
      <c r="P26" s="750"/>
      <c r="Q26" s="737"/>
      <c r="R26" s="750"/>
      <c r="S26" s="737"/>
      <c r="T26" s="750"/>
      <c r="U26" s="737"/>
      <c r="V26" s="750"/>
      <c r="W26" s="737"/>
      <c r="X26" s="751"/>
      <c r="Z26" s="665">
        <f>C26*D26/100</f>
        <v>145.45751843762645</v>
      </c>
      <c r="AA26" s="472">
        <f>E26*F26/100</f>
        <v>155.81188548653944</v>
      </c>
      <c r="AB26" s="472">
        <f>G26*H26/100</f>
        <v>150.41650508813487</v>
      </c>
      <c r="AC26" s="472">
        <f>I26*J26/100</f>
        <v>158.16874433273489</v>
      </c>
      <c r="AD26" s="472">
        <f>K26*L26/100</f>
        <v>171.16334475887746</v>
      </c>
      <c r="AE26" s="472">
        <f>M26*N26/100</f>
        <v>144.98809268198397</v>
      </c>
      <c r="AF26" s="472">
        <f>O26*P26/100</f>
        <v>0</v>
      </c>
      <c r="AG26" s="472">
        <f>Q26*R26/100</f>
        <v>0</v>
      </c>
      <c r="AH26" s="472">
        <f>S26*T26/100</f>
        <v>0</v>
      </c>
      <c r="AI26" s="472">
        <f>U26*V26/100</f>
        <v>0</v>
      </c>
      <c r="AJ26" s="666">
        <f>W26*X26/100</f>
        <v>0</v>
      </c>
    </row>
    <row r="27" spans="2:36" ht="15" customHeight="1" x14ac:dyDescent="0.2">
      <c r="B27" s="739" t="s">
        <v>286</v>
      </c>
      <c r="C27" s="740">
        <v>238.006</v>
      </c>
      <c r="D27" s="752">
        <v>18.350000000000001</v>
      </c>
      <c r="E27" s="740">
        <v>258.863</v>
      </c>
      <c r="F27" s="752">
        <v>16.739999999999998</v>
      </c>
      <c r="G27" s="740">
        <v>420.42200000000003</v>
      </c>
      <c r="H27" s="752">
        <v>18.03</v>
      </c>
      <c r="I27" s="740">
        <v>350.44</v>
      </c>
      <c r="J27" s="752">
        <v>15.81</v>
      </c>
      <c r="K27" s="740">
        <v>257.19099999999997</v>
      </c>
      <c r="L27" s="752">
        <v>19.52</v>
      </c>
      <c r="M27" s="740">
        <v>166.393</v>
      </c>
      <c r="N27" s="752">
        <v>14.57</v>
      </c>
      <c r="O27" s="740"/>
      <c r="P27" s="752"/>
      <c r="Q27" s="740"/>
      <c r="R27" s="752"/>
      <c r="S27" s="740"/>
      <c r="T27" s="752"/>
      <c r="U27" s="740"/>
      <c r="V27" s="752"/>
      <c r="W27" s="740"/>
      <c r="X27" s="753"/>
      <c r="Z27" s="665">
        <f t="shared" ref="Z27:Z40" si="0">C27*D27/100</f>
        <v>43.674101</v>
      </c>
      <c r="AA27" s="472">
        <f t="shared" ref="AA27:AA40" si="1">E27*F27/100</f>
        <v>43.333666199999996</v>
      </c>
      <c r="AB27" s="472">
        <f t="shared" ref="AB27:AB40" si="2">G27*H27/100</f>
        <v>75.80208660000001</v>
      </c>
      <c r="AC27" s="472">
        <f t="shared" ref="AC27:AC40" si="3">I27*J27/100</f>
        <v>55.404564000000001</v>
      </c>
      <c r="AD27" s="472">
        <f t="shared" ref="AD27:AD40" si="4">K27*L27/100</f>
        <v>50.203683199999993</v>
      </c>
      <c r="AE27" s="472">
        <f t="shared" ref="AE27:AE40" si="5">M27*N27/100</f>
        <v>24.243460100000004</v>
      </c>
      <c r="AF27" s="472">
        <f t="shared" ref="AF27:AF40" si="6">O27*P27/100</f>
        <v>0</v>
      </c>
      <c r="AG27" s="472">
        <f t="shared" ref="AG27:AG40" si="7">Q27*R27/100</f>
        <v>0</v>
      </c>
      <c r="AH27" s="472">
        <f t="shared" ref="AH27:AH40" si="8">S27*T27/100</f>
        <v>0</v>
      </c>
      <c r="AI27" s="472">
        <f t="shared" ref="AI27:AI40" si="9">U27*V27/100</f>
        <v>0</v>
      </c>
      <c r="AJ27" s="666">
        <f t="shared" ref="AJ27:AJ40" si="10">W27*X27/100</f>
        <v>0</v>
      </c>
    </row>
    <row r="28" spans="2:36" ht="15" customHeight="1" x14ac:dyDescent="0.2">
      <c r="B28" s="739" t="s">
        <v>307</v>
      </c>
      <c r="C28" s="740">
        <v>330.42700000000002</v>
      </c>
      <c r="D28" s="752">
        <v>17.149999999999999</v>
      </c>
      <c r="E28" s="740">
        <v>520.34100000000001</v>
      </c>
      <c r="F28" s="752">
        <v>15.88</v>
      </c>
      <c r="G28" s="740">
        <v>232.18</v>
      </c>
      <c r="H28" s="752">
        <v>11.5</v>
      </c>
      <c r="I28" s="740">
        <v>212.33600000000001</v>
      </c>
      <c r="J28" s="752">
        <v>14.74</v>
      </c>
      <c r="K28" s="740">
        <v>227.797</v>
      </c>
      <c r="L28" s="752">
        <v>14.85</v>
      </c>
      <c r="M28" s="740">
        <v>166.84</v>
      </c>
      <c r="N28" s="752">
        <v>21.27</v>
      </c>
      <c r="O28" s="740"/>
      <c r="P28" s="752"/>
      <c r="Q28" s="740"/>
      <c r="R28" s="752"/>
      <c r="S28" s="740"/>
      <c r="T28" s="752"/>
      <c r="U28" s="740"/>
      <c r="V28" s="752"/>
      <c r="W28" s="740"/>
      <c r="X28" s="753"/>
      <c r="Z28" s="665">
        <f t="shared" si="0"/>
        <v>56.6682305</v>
      </c>
      <c r="AA28" s="472">
        <f t="shared" si="1"/>
        <v>82.63015080000001</v>
      </c>
      <c r="AB28" s="472">
        <f t="shared" si="2"/>
        <v>26.700700000000001</v>
      </c>
      <c r="AC28" s="472">
        <f t="shared" si="3"/>
        <v>31.298326400000001</v>
      </c>
      <c r="AD28" s="472">
        <f t="shared" si="4"/>
        <v>33.827854500000001</v>
      </c>
      <c r="AE28" s="472">
        <f t="shared" si="5"/>
        <v>35.486868000000001</v>
      </c>
      <c r="AF28" s="472">
        <f t="shared" si="6"/>
        <v>0</v>
      </c>
      <c r="AG28" s="472">
        <f t="shared" si="7"/>
        <v>0</v>
      </c>
      <c r="AH28" s="472">
        <f t="shared" si="8"/>
        <v>0</v>
      </c>
      <c r="AI28" s="472">
        <f t="shared" si="9"/>
        <v>0</v>
      </c>
      <c r="AJ28" s="666">
        <f t="shared" si="10"/>
        <v>0</v>
      </c>
    </row>
    <row r="29" spans="2:36" ht="15" customHeight="1" x14ac:dyDescent="0.2">
      <c r="B29" s="739" t="s">
        <v>287</v>
      </c>
      <c r="C29" s="740">
        <v>166.202</v>
      </c>
      <c r="D29" s="752">
        <v>11.7</v>
      </c>
      <c r="E29" s="740">
        <v>201.37</v>
      </c>
      <c r="F29" s="752">
        <v>13.18</v>
      </c>
      <c r="G29" s="740">
        <v>164.31299999999999</v>
      </c>
      <c r="H29" s="752">
        <v>17.68</v>
      </c>
      <c r="I29" s="740">
        <v>251.798</v>
      </c>
      <c r="J29" s="752">
        <v>18.3</v>
      </c>
      <c r="K29" s="740">
        <v>269.90499999999997</v>
      </c>
      <c r="L29" s="752">
        <v>16.97</v>
      </c>
      <c r="M29" s="740">
        <v>213.79300000000001</v>
      </c>
      <c r="N29" s="752">
        <v>19.66</v>
      </c>
      <c r="O29" s="740"/>
      <c r="P29" s="752"/>
      <c r="Q29" s="740"/>
      <c r="R29" s="752"/>
      <c r="S29" s="740"/>
      <c r="T29" s="752"/>
      <c r="U29" s="740"/>
      <c r="V29" s="752"/>
      <c r="W29" s="740"/>
      <c r="X29" s="753"/>
      <c r="Z29" s="665">
        <f t="shared" si="0"/>
        <v>19.445633999999998</v>
      </c>
      <c r="AA29" s="472">
        <f t="shared" si="1"/>
        <v>26.540565999999998</v>
      </c>
      <c r="AB29" s="472">
        <f t="shared" si="2"/>
        <v>29.050538399999997</v>
      </c>
      <c r="AC29" s="472">
        <f t="shared" si="3"/>
        <v>46.079034</v>
      </c>
      <c r="AD29" s="472">
        <f t="shared" si="4"/>
        <v>45.802878499999991</v>
      </c>
      <c r="AE29" s="472">
        <f t="shared" si="5"/>
        <v>42.031703800000003</v>
      </c>
      <c r="AF29" s="472">
        <f t="shared" si="6"/>
        <v>0</v>
      </c>
      <c r="AG29" s="472">
        <f t="shared" si="7"/>
        <v>0</v>
      </c>
      <c r="AH29" s="472">
        <f t="shared" si="8"/>
        <v>0</v>
      </c>
      <c r="AI29" s="472">
        <f t="shared" si="9"/>
        <v>0</v>
      </c>
      <c r="AJ29" s="666">
        <f t="shared" si="10"/>
        <v>0</v>
      </c>
    </row>
    <row r="30" spans="2:36" ht="15" customHeight="1" x14ac:dyDescent="0.2">
      <c r="B30" s="739" t="s">
        <v>288</v>
      </c>
      <c r="C30" s="740">
        <v>80.561999999999998</v>
      </c>
      <c r="D30" s="752">
        <v>17.87</v>
      </c>
      <c r="E30" s="740">
        <v>104.88500000000001</v>
      </c>
      <c r="F30" s="752">
        <v>22.05</v>
      </c>
      <c r="G30" s="740">
        <v>134.94200000000001</v>
      </c>
      <c r="H30" s="752">
        <v>29.77</v>
      </c>
      <c r="I30" s="740">
        <v>136.261</v>
      </c>
      <c r="J30" s="752">
        <v>22.44</v>
      </c>
      <c r="K30" s="740">
        <v>63.215000000000003</v>
      </c>
      <c r="L30" s="752">
        <v>20.62</v>
      </c>
      <c r="M30" s="740">
        <v>80.111000000000004</v>
      </c>
      <c r="N30" s="752">
        <v>39.979999999999997</v>
      </c>
      <c r="O30" s="740"/>
      <c r="P30" s="752"/>
      <c r="Q30" s="740"/>
      <c r="R30" s="752"/>
      <c r="S30" s="740"/>
      <c r="T30" s="752"/>
      <c r="U30" s="740"/>
      <c r="V30" s="752"/>
      <c r="W30" s="740"/>
      <c r="X30" s="753"/>
      <c r="Z30" s="665">
        <f t="shared" si="0"/>
        <v>14.396429399999999</v>
      </c>
      <c r="AA30" s="472">
        <f t="shared" si="1"/>
        <v>23.127142500000001</v>
      </c>
      <c r="AB30" s="472">
        <f t="shared" si="2"/>
        <v>40.172233400000003</v>
      </c>
      <c r="AC30" s="472">
        <f t="shared" si="3"/>
        <v>30.576968400000002</v>
      </c>
      <c r="AD30" s="472">
        <f t="shared" si="4"/>
        <v>13.034933000000001</v>
      </c>
      <c r="AE30" s="472">
        <f t="shared" si="5"/>
        <v>32.028377800000001</v>
      </c>
      <c r="AF30" s="472">
        <f t="shared" si="6"/>
        <v>0</v>
      </c>
      <c r="AG30" s="472">
        <f t="shared" si="7"/>
        <v>0</v>
      </c>
      <c r="AH30" s="472">
        <f t="shared" si="8"/>
        <v>0</v>
      </c>
      <c r="AI30" s="472">
        <f t="shared" si="9"/>
        <v>0</v>
      </c>
      <c r="AJ30" s="666">
        <f t="shared" si="10"/>
        <v>0</v>
      </c>
    </row>
    <row r="31" spans="2:36" ht="15" customHeight="1" x14ac:dyDescent="0.2">
      <c r="B31" s="739" t="s">
        <v>305</v>
      </c>
      <c r="C31" s="740">
        <v>22.687000000000001</v>
      </c>
      <c r="D31" s="752">
        <v>29.86</v>
      </c>
      <c r="E31" s="740">
        <v>47.752000000000002</v>
      </c>
      <c r="F31" s="752">
        <v>29.88</v>
      </c>
      <c r="G31" s="740">
        <v>23.611000000000001</v>
      </c>
      <c r="H31" s="752">
        <v>27.54</v>
      </c>
      <c r="I31" s="740">
        <v>29.257999999999999</v>
      </c>
      <c r="J31" s="752">
        <v>30.38</v>
      </c>
      <c r="K31" s="740">
        <v>28.265000000000001</v>
      </c>
      <c r="L31" s="752">
        <v>42.71</v>
      </c>
      <c r="M31" s="740">
        <v>19.815999999999999</v>
      </c>
      <c r="N31" s="752">
        <v>32.51</v>
      </c>
      <c r="O31" s="740"/>
      <c r="P31" s="752"/>
      <c r="Q31" s="740"/>
      <c r="R31" s="752"/>
      <c r="S31" s="740"/>
      <c r="T31" s="752"/>
      <c r="U31" s="740"/>
      <c r="V31" s="752"/>
      <c r="W31" s="740"/>
      <c r="X31" s="753"/>
      <c r="Z31" s="665">
        <f t="shared" si="0"/>
        <v>6.7743381999999999</v>
      </c>
      <c r="AA31" s="472">
        <f t="shared" si="1"/>
        <v>14.2682976</v>
      </c>
      <c r="AB31" s="472">
        <f t="shared" si="2"/>
        <v>6.5024693999999998</v>
      </c>
      <c r="AC31" s="472">
        <f t="shared" si="3"/>
        <v>8.8885804000000004</v>
      </c>
      <c r="AD31" s="472">
        <f t="shared" si="4"/>
        <v>12.0719815</v>
      </c>
      <c r="AE31" s="472">
        <f t="shared" si="5"/>
        <v>6.4421815999999987</v>
      </c>
      <c r="AF31" s="472">
        <f t="shared" si="6"/>
        <v>0</v>
      </c>
      <c r="AG31" s="472">
        <f t="shared" si="7"/>
        <v>0</v>
      </c>
      <c r="AH31" s="472">
        <f t="shared" si="8"/>
        <v>0</v>
      </c>
      <c r="AI31" s="472">
        <f t="shared" si="9"/>
        <v>0</v>
      </c>
      <c r="AJ31" s="666">
        <f t="shared" si="10"/>
        <v>0</v>
      </c>
    </row>
    <row r="32" spans="2:36" ht="15" customHeight="1" x14ac:dyDescent="0.2">
      <c r="B32" s="739" t="s">
        <v>289</v>
      </c>
      <c r="C32" s="740">
        <v>27.053000000000001</v>
      </c>
      <c r="D32" s="752">
        <v>17.91</v>
      </c>
      <c r="E32" s="740">
        <v>62.036000000000001</v>
      </c>
      <c r="F32" s="752">
        <v>21.65</v>
      </c>
      <c r="G32" s="740">
        <v>48.756999999999998</v>
      </c>
      <c r="H32" s="752">
        <v>30.01</v>
      </c>
      <c r="I32" s="740">
        <v>21.864000000000001</v>
      </c>
      <c r="J32" s="752">
        <v>23.89</v>
      </c>
      <c r="K32" s="740">
        <v>52.98</v>
      </c>
      <c r="L32" s="752">
        <v>58.36</v>
      </c>
      <c r="M32" s="740">
        <v>58.429000000000002</v>
      </c>
      <c r="N32" s="752">
        <v>33.86</v>
      </c>
      <c r="O32" s="740"/>
      <c r="P32" s="752"/>
      <c r="Q32" s="740"/>
      <c r="R32" s="752"/>
      <c r="S32" s="740"/>
      <c r="T32" s="752"/>
      <c r="U32" s="740"/>
      <c r="V32" s="752"/>
      <c r="W32" s="740"/>
      <c r="X32" s="753"/>
      <c r="Z32" s="665">
        <f t="shared" si="0"/>
        <v>4.8451922999999999</v>
      </c>
      <c r="AA32" s="472">
        <f t="shared" si="1"/>
        <v>13.430793999999999</v>
      </c>
      <c r="AB32" s="472">
        <f t="shared" si="2"/>
        <v>14.6319757</v>
      </c>
      <c r="AC32" s="472">
        <f t="shared" si="3"/>
        <v>5.2233096000000003</v>
      </c>
      <c r="AD32" s="472">
        <f t="shared" si="4"/>
        <v>30.919127999999997</v>
      </c>
      <c r="AE32" s="472">
        <f t="shared" si="5"/>
        <v>19.7840594</v>
      </c>
      <c r="AF32" s="472">
        <f t="shared" si="6"/>
        <v>0</v>
      </c>
      <c r="AG32" s="472">
        <f t="shared" si="7"/>
        <v>0</v>
      </c>
      <c r="AH32" s="472">
        <f t="shared" si="8"/>
        <v>0</v>
      </c>
      <c r="AI32" s="472">
        <f t="shared" si="9"/>
        <v>0</v>
      </c>
      <c r="AJ32" s="666">
        <f t="shared" si="10"/>
        <v>0</v>
      </c>
    </row>
    <row r="33" spans="2:36" ht="15" customHeight="1" x14ac:dyDescent="0.2">
      <c r="B33" s="739" t="s">
        <v>306</v>
      </c>
      <c r="C33" s="740">
        <v>160.82599999999999</v>
      </c>
      <c r="D33" s="752">
        <v>16.54</v>
      </c>
      <c r="E33" s="740">
        <v>139.34299999999999</v>
      </c>
      <c r="F33" s="752">
        <v>15.82</v>
      </c>
      <c r="G33" s="740">
        <v>172.786</v>
      </c>
      <c r="H33" s="752">
        <v>18.29</v>
      </c>
      <c r="I33" s="740">
        <v>93.953999999999994</v>
      </c>
      <c r="J33" s="752">
        <v>22.78</v>
      </c>
      <c r="K33" s="740">
        <v>86.736999999999995</v>
      </c>
      <c r="L33" s="752">
        <v>25.34</v>
      </c>
      <c r="M33" s="740">
        <v>116.59699999999999</v>
      </c>
      <c r="N33" s="752">
        <v>22.62</v>
      </c>
      <c r="O33" s="740"/>
      <c r="P33" s="752"/>
      <c r="Q33" s="740"/>
      <c r="R33" s="752"/>
      <c r="S33" s="740"/>
      <c r="T33" s="752"/>
      <c r="U33" s="740"/>
      <c r="V33" s="752"/>
      <c r="W33" s="740"/>
      <c r="X33" s="753"/>
      <c r="Z33" s="665">
        <f t="shared" si="0"/>
        <v>26.600620399999997</v>
      </c>
      <c r="AA33" s="472">
        <f t="shared" si="1"/>
        <v>22.044062599999997</v>
      </c>
      <c r="AB33" s="472">
        <f t="shared" si="2"/>
        <v>31.602559400000001</v>
      </c>
      <c r="AC33" s="472">
        <f t="shared" si="3"/>
        <v>21.402721200000002</v>
      </c>
      <c r="AD33" s="472">
        <f t="shared" si="4"/>
        <v>21.979155799999997</v>
      </c>
      <c r="AE33" s="472">
        <f t="shared" si="5"/>
        <v>26.374241400000002</v>
      </c>
      <c r="AF33" s="472">
        <f t="shared" si="6"/>
        <v>0</v>
      </c>
      <c r="AG33" s="472">
        <f t="shared" si="7"/>
        <v>0</v>
      </c>
      <c r="AH33" s="472">
        <f t="shared" si="8"/>
        <v>0</v>
      </c>
      <c r="AI33" s="472">
        <f t="shared" si="9"/>
        <v>0</v>
      </c>
      <c r="AJ33" s="666">
        <f t="shared" si="10"/>
        <v>0</v>
      </c>
    </row>
    <row r="34" spans="2:36" ht="15" customHeight="1" x14ac:dyDescent="0.2">
      <c r="B34" s="739" t="s">
        <v>290</v>
      </c>
      <c r="C34" s="740">
        <v>67.429000000000002</v>
      </c>
      <c r="D34" s="752">
        <v>18.55</v>
      </c>
      <c r="E34" s="740">
        <v>57.585000000000001</v>
      </c>
      <c r="F34" s="752">
        <v>18.010000000000002</v>
      </c>
      <c r="G34" s="740">
        <v>42.152000000000001</v>
      </c>
      <c r="H34" s="752">
        <v>15.32</v>
      </c>
      <c r="I34" s="740">
        <v>70.442999999999998</v>
      </c>
      <c r="J34" s="752">
        <v>19.45</v>
      </c>
      <c r="K34" s="740">
        <v>80.106999999999999</v>
      </c>
      <c r="L34" s="752">
        <v>22.38</v>
      </c>
      <c r="M34" s="740">
        <v>47.362000000000002</v>
      </c>
      <c r="N34" s="752">
        <v>24.58</v>
      </c>
      <c r="O34" s="740"/>
      <c r="P34" s="752"/>
      <c r="Q34" s="740"/>
      <c r="R34" s="752"/>
      <c r="S34" s="740"/>
      <c r="T34" s="752"/>
      <c r="U34" s="740"/>
      <c r="V34" s="752"/>
      <c r="W34" s="740"/>
      <c r="X34" s="753"/>
      <c r="Z34" s="665">
        <f t="shared" si="0"/>
        <v>12.508079500000001</v>
      </c>
      <c r="AA34" s="472">
        <f t="shared" si="1"/>
        <v>10.371058500000002</v>
      </c>
      <c r="AB34" s="472">
        <f t="shared" si="2"/>
        <v>6.4576864</v>
      </c>
      <c r="AC34" s="472">
        <f t="shared" si="3"/>
        <v>13.7011635</v>
      </c>
      <c r="AD34" s="472">
        <f t="shared" si="4"/>
        <v>17.927946599999999</v>
      </c>
      <c r="AE34" s="472">
        <f t="shared" si="5"/>
        <v>11.6415796</v>
      </c>
      <c r="AF34" s="472">
        <f t="shared" si="6"/>
        <v>0</v>
      </c>
      <c r="AG34" s="472">
        <f t="shared" si="7"/>
        <v>0</v>
      </c>
      <c r="AH34" s="472">
        <f t="shared" si="8"/>
        <v>0</v>
      </c>
      <c r="AI34" s="472">
        <f t="shared" si="9"/>
        <v>0</v>
      </c>
      <c r="AJ34" s="666">
        <f t="shared" si="10"/>
        <v>0</v>
      </c>
    </row>
    <row r="35" spans="2:36" ht="15" customHeight="1" x14ac:dyDescent="0.2">
      <c r="B35" s="739" t="s">
        <v>291</v>
      </c>
      <c r="C35" s="740">
        <v>287.02800000000002</v>
      </c>
      <c r="D35" s="752">
        <v>18.52</v>
      </c>
      <c r="E35" s="740">
        <v>374.25299999999999</v>
      </c>
      <c r="F35" s="752">
        <v>17.09</v>
      </c>
      <c r="G35" s="740">
        <v>370.53500000000003</v>
      </c>
      <c r="H35" s="752">
        <v>16.57</v>
      </c>
      <c r="I35" s="740">
        <v>488.64299999999997</v>
      </c>
      <c r="J35" s="752">
        <v>18.55</v>
      </c>
      <c r="K35" s="740">
        <v>543.79</v>
      </c>
      <c r="L35" s="752">
        <v>19.170000000000002</v>
      </c>
      <c r="M35" s="740">
        <v>491.47399999999999</v>
      </c>
      <c r="N35" s="752">
        <v>18.88</v>
      </c>
      <c r="O35" s="740"/>
      <c r="P35" s="752"/>
      <c r="Q35" s="740"/>
      <c r="R35" s="752"/>
      <c r="S35" s="740"/>
      <c r="T35" s="752"/>
      <c r="U35" s="740"/>
      <c r="V35" s="752"/>
      <c r="W35" s="740"/>
      <c r="X35" s="753"/>
      <c r="Z35" s="665">
        <f t="shared" si="0"/>
        <v>53.157585600000004</v>
      </c>
      <c r="AA35" s="472">
        <f t="shared" si="1"/>
        <v>63.959837700000001</v>
      </c>
      <c r="AB35" s="472">
        <f t="shared" si="2"/>
        <v>61.397649500000007</v>
      </c>
      <c r="AC35" s="472">
        <f t="shared" si="3"/>
        <v>90.643276499999999</v>
      </c>
      <c r="AD35" s="472">
        <f t="shared" si="4"/>
        <v>104.24454299999999</v>
      </c>
      <c r="AE35" s="472">
        <f t="shared" si="5"/>
        <v>92.790291199999999</v>
      </c>
      <c r="AF35" s="472">
        <f t="shared" si="6"/>
        <v>0</v>
      </c>
      <c r="AG35" s="472">
        <f t="shared" si="7"/>
        <v>0</v>
      </c>
      <c r="AH35" s="472">
        <f t="shared" si="8"/>
        <v>0</v>
      </c>
      <c r="AI35" s="472">
        <f t="shared" si="9"/>
        <v>0</v>
      </c>
      <c r="AJ35" s="666">
        <f t="shared" si="10"/>
        <v>0</v>
      </c>
    </row>
    <row r="36" spans="2:36" ht="15" customHeight="1" x14ac:dyDescent="0.2">
      <c r="B36" s="739" t="s">
        <v>292</v>
      </c>
      <c r="C36" s="740">
        <v>215.75200000000001</v>
      </c>
      <c r="D36" s="752">
        <v>13.41</v>
      </c>
      <c r="E36" s="740">
        <v>244.52500000000001</v>
      </c>
      <c r="F36" s="752">
        <v>11.17</v>
      </c>
      <c r="G36" s="740">
        <v>207.72200000000001</v>
      </c>
      <c r="H36" s="752">
        <v>13.01</v>
      </c>
      <c r="I36" s="740">
        <v>217.655</v>
      </c>
      <c r="J36" s="752">
        <v>13.9</v>
      </c>
      <c r="K36" s="740">
        <v>220.10900000000001</v>
      </c>
      <c r="L36" s="752">
        <v>16.22</v>
      </c>
      <c r="M36" s="740">
        <v>136.70099999999999</v>
      </c>
      <c r="N36" s="752">
        <v>22.56</v>
      </c>
      <c r="O36" s="740"/>
      <c r="P36" s="752"/>
      <c r="Q36" s="740"/>
      <c r="R36" s="752"/>
      <c r="S36" s="740"/>
      <c r="T36" s="752"/>
      <c r="U36" s="740"/>
      <c r="V36" s="752"/>
      <c r="W36" s="740"/>
      <c r="X36" s="753"/>
      <c r="Z36" s="665">
        <f t="shared" si="0"/>
        <v>28.932343200000002</v>
      </c>
      <c r="AA36" s="472">
        <f t="shared" si="1"/>
        <v>27.313442500000001</v>
      </c>
      <c r="AB36" s="472">
        <f t="shared" si="2"/>
        <v>27.024632199999999</v>
      </c>
      <c r="AC36" s="472">
        <f t="shared" si="3"/>
        <v>30.254045000000001</v>
      </c>
      <c r="AD36" s="472">
        <f t="shared" si="4"/>
        <v>35.701679799999994</v>
      </c>
      <c r="AE36" s="472">
        <f t="shared" si="5"/>
        <v>30.839745599999997</v>
      </c>
      <c r="AF36" s="472">
        <f t="shared" si="6"/>
        <v>0</v>
      </c>
      <c r="AG36" s="472">
        <f t="shared" si="7"/>
        <v>0</v>
      </c>
      <c r="AH36" s="472">
        <f t="shared" si="8"/>
        <v>0</v>
      </c>
      <c r="AI36" s="472">
        <f t="shared" si="9"/>
        <v>0</v>
      </c>
      <c r="AJ36" s="666">
        <f t="shared" si="10"/>
        <v>0</v>
      </c>
    </row>
    <row r="37" spans="2:36" ht="15" customHeight="1" x14ac:dyDescent="0.2">
      <c r="B37" s="739" t="s">
        <v>293</v>
      </c>
      <c r="C37" s="740">
        <v>268.62799999999999</v>
      </c>
      <c r="D37" s="752">
        <v>16.62</v>
      </c>
      <c r="E37" s="740">
        <v>198.71100000000001</v>
      </c>
      <c r="F37" s="752">
        <v>11.38</v>
      </c>
      <c r="G37" s="740">
        <v>222.637</v>
      </c>
      <c r="H37" s="752">
        <v>13.71</v>
      </c>
      <c r="I37" s="740">
        <v>318.28699999999998</v>
      </c>
      <c r="J37" s="752">
        <v>14.55</v>
      </c>
      <c r="K37" s="740">
        <v>226.78299999999999</v>
      </c>
      <c r="L37" s="752">
        <v>17.66</v>
      </c>
      <c r="M37" s="740">
        <v>196.238</v>
      </c>
      <c r="N37" s="752">
        <v>22.79</v>
      </c>
      <c r="O37" s="740"/>
      <c r="P37" s="752"/>
      <c r="Q37" s="740"/>
      <c r="R37" s="752"/>
      <c r="S37" s="740"/>
      <c r="T37" s="752"/>
      <c r="U37" s="740"/>
      <c r="V37" s="752"/>
      <c r="W37" s="740"/>
      <c r="X37" s="753"/>
      <c r="Z37" s="665">
        <f t="shared" si="0"/>
        <v>44.645973599999998</v>
      </c>
      <c r="AA37" s="472">
        <f t="shared" si="1"/>
        <v>22.613311800000002</v>
      </c>
      <c r="AB37" s="472">
        <f t="shared" si="2"/>
        <v>30.523532700000001</v>
      </c>
      <c r="AC37" s="472">
        <f t="shared" si="3"/>
        <v>46.310758499999999</v>
      </c>
      <c r="AD37" s="472">
        <f t="shared" si="4"/>
        <v>40.049877799999997</v>
      </c>
      <c r="AE37" s="472">
        <f t="shared" si="5"/>
        <v>44.722640199999994</v>
      </c>
      <c r="AF37" s="472">
        <f t="shared" si="6"/>
        <v>0</v>
      </c>
      <c r="AG37" s="472">
        <f t="shared" si="7"/>
        <v>0</v>
      </c>
      <c r="AH37" s="472">
        <f t="shared" si="8"/>
        <v>0</v>
      </c>
      <c r="AI37" s="472">
        <f t="shared" si="9"/>
        <v>0</v>
      </c>
      <c r="AJ37" s="666">
        <f t="shared" si="10"/>
        <v>0</v>
      </c>
    </row>
    <row r="38" spans="2:36" ht="15" customHeight="1" x14ac:dyDescent="0.2">
      <c r="B38" s="739" t="s">
        <v>294</v>
      </c>
      <c r="C38" s="740">
        <v>352.09399999999999</v>
      </c>
      <c r="D38" s="752">
        <v>15.34</v>
      </c>
      <c r="E38" s="740">
        <v>312.339</v>
      </c>
      <c r="F38" s="752">
        <v>13.78</v>
      </c>
      <c r="G38" s="740">
        <v>247.75899999999999</v>
      </c>
      <c r="H38" s="752">
        <v>16.149999999999999</v>
      </c>
      <c r="I38" s="740">
        <v>245.41300000000001</v>
      </c>
      <c r="J38" s="752">
        <v>12.48</v>
      </c>
      <c r="K38" s="740">
        <v>187.584</v>
      </c>
      <c r="L38" s="752">
        <v>13.34</v>
      </c>
      <c r="M38" s="740">
        <v>155.52799999999999</v>
      </c>
      <c r="N38" s="752">
        <v>12.49</v>
      </c>
      <c r="O38" s="740"/>
      <c r="P38" s="752"/>
      <c r="Q38" s="740"/>
      <c r="R38" s="752"/>
      <c r="S38" s="740"/>
      <c r="T38" s="752"/>
      <c r="U38" s="740"/>
      <c r="V38" s="752"/>
      <c r="W38" s="740"/>
      <c r="X38" s="753"/>
      <c r="Z38" s="665">
        <f t="shared" si="0"/>
        <v>54.011219599999997</v>
      </c>
      <c r="AA38" s="472">
        <f t="shared" si="1"/>
        <v>43.04031419999999</v>
      </c>
      <c r="AB38" s="472">
        <f t="shared" si="2"/>
        <v>40.013078499999992</v>
      </c>
      <c r="AC38" s="472">
        <f t="shared" si="3"/>
        <v>30.627542400000003</v>
      </c>
      <c r="AD38" s="472">
        <f t="shared" si="4"/>
        <v>25.0237056</v>
      </c>
      <c r="AE38" s="472">
        <f t="shared" si="5"/>
        <v>19.425447199999997</v>
      </c>
      <c r="AF38" s="472">
        <f t="shared" si="6"/>
        <v>0</v>
      </c>
      <c r="AG38" s="472">
        <f t="shared" si="7"/>
        <v>0</v>
      </c>
      <c r="AH38" s="472">
        <f t="shared" si="8"/>
        <v>0</v>
      </c>
      <c r="AI38" s="472">
        <f t="shared" si="9"/>
        <v>0</v>
      </c>
      <c r="AJ38" s="666">
        <f t="shared" si="10"/>
        <v>0</v>
      </c>
    </row>
    <row r="39" spans="2:36" ht="15" customHeight="1" x14ac:dyDescent="0.2">
      <c r="B39" s="739" t="s">
        <v>295</v>
      </c>
      <c r="C39" s="740">
        <v>467.99599999999998</v>
      </c>
      <c r="D39" s="752">
        <v>15.18</v>
      </c>
      <c r="E39" s="740">
        <v>420.09199999999998</v>
      </c>
      <c r="F39" s="752">
        <v>14.44</v>
      </c>
      <c r="G39" s="740">
        <v>370.84199999999998</v>
      </c>
      <c r="H39" s="752">
        <v>17.559999999999999</v>
      </c>
      <c r="I39" s="740">
        <v>286.964</v>
      </c>
      <c r="J39" s="752">
        <v>14.65</v>
      </c>
      <c r="K39" s="740">
        <v>446.91</v>
      </c>
      <c r="L39" s="752">
        <v>17.71</v>
      </c>
      <c r="M39" s="740">
        <v>221.53100000000001</v>
      </c>
      <c r="N39" s="752">
        <v>21.03</v>
      </c>
      <c r="O39" s="740"/>
      <c r="P39" s="752"/>
      <c r="Q39" s="740"/>
      <c r="R39" s="752"/>
      <c r="S39" s="740"/>
      <c r="T39" s="752"/>
      <c r="U39" s="740"/>
      <c r="V39" s="752"/>
      <c r="W39" s="740"/>
      <c r="X39" s="753"/>
      <c r="Z39" s="665">
        <f t="shared" si="0"/>
        <v>71.041792799999996</v>
      </c>
      <c r="AA39" s="472">
        <f t="shared" si="1"/>
        <v>60.661284799999997</v>
      </c>
      <c r="AB39" s="472">
        <f t="shared" si="2"/>
        <v>65.119855199999989</v>
      </c>
      <c r="AC39" s="472">
        <f t="shared" si="3"/>
        <v>42.040226000000004</v>
      </c>
      <c r="AD39" s="472">
        <f t="shared" si="4"/>
        <v>79.147761000000003</v>
      </c>
      <c r="AE39" s="472">
        <f t="shared" si="5"/>
        <v>46.587969300000005</v>
      </c>
      <c r="AF39" s="472">
        <f t="shared" si="6"/>
        <v>0</v>
      </c>
      <c r="AG39" s="472">
        <f t="shared" si="7"/>
        <v>0</v>
      </c>
      <c r="AH39" s="472">
        <f t="shared" si="8"/>
        <v>0</v>
      </c>
      <c r="AI39" s="472">
        <f t="shared" si="9"/>
        <v>0</v>
      </c>
      <c r="AJ39" s="666">
        <f t="shared" si="10"/>
        <v>0</v>
      </c>
    </row>
    <row r="40" spans="2:36" ht="15" customHeight="1" thickBot="1" x14ac:dyDescent="0.25">
      <c r="B40" s="742" t="s">
        <v>296</v>
      </c>
      <c r="C40" s="743">
        <v>273.24700000000001</v>
      </c>
      <c r="D40" s="754">
        <v>10.98</v>
      </c>
      <c r="E40" s="743">
        <v>322.80900000000003</v>
      </c>
      <c r="F40" s="754">
        <v>15.41</v>
      </c>
      <c r="G40" s="743">
        <v>297.791</v>
      </c>
      <c r="H40" s="754">
        <v>11.33</v>
      </c>
      <c r="I40" s="743">
        <v>329.38299999999998</v>
      </c>
      <c r="J40" s="754">
        <v>17.11</v>
      </c>
      <c r="K40" s="743">
        <v>219.03200000000001</v>
      </c>
      <c r="L40" s="754">
        <v>13.09</v>
      </c>
      <c r="M40" s="743">
        <v>201.93100000000001</v>
      </c>
      <c r="N40" s="754">
        <v>15.73</v>
      </c>
      <c r="O40" s="743"/>
      <c r="P40" s="754"/>
      <c r="Q40" s="743"/>
      <c r="R40" s="754"/>
      <c r="S40" s="743"/>
      <c r="T40" s="754"/>
      <c r="U40" s="743"/>
      <c r="V40" s="754"/>
      <c r="W40" s="743"/>
      <c r="X40" s="755"/>
      <c r="Z40" s="683">
        <f t="shared" si="0"/>
        <v>30.002520600000004</v>
      </c>
      <c r="AA40" s="684">
        <f t="shared" si="1"/>
        <v>49.744866900000005</v>
      </c>
      <c r="AB40" s="684">
        <f t="shared" si="2"/>
        <v>33.739720300000002</v>
      </c>
      <c r="AC40" s="684">
        <f t="shared" si="3"/>
        <v>56.357431300000002</v>
      </c>
      <c r="AD40" s="684">
        <f t="shared" si="4"/>
        <v>28.671288800000003</v>
      </c>
      <c r="AE40" s="684">
        <f t="shared" si="5"/>
        <v>31.763746300000001</v>
      </c>
      <c r="AF40" s="684">
        <f t="shared" si="6"/>
        <v>0</v>
      </c>
      <c r="AG40" s="684">
        <f t="shared" si="7"/>
        <v>0</v>
      </c>
      <c r="AH40" s="684">
        <f t="shared" si="8"/>
        <v>0</v>
      </c>
      <c r="AI40" s="684">
        <f t="shared" si="9"/>
        <v>0</v>
      </c>
      <c r="AJ40" s="685">
        <f t="shared" si="10"/>
        <v>0</v>
      </c>
    </row>
    <row r="43" spans="2:36" ht="15" customHeight="1" x14ac:dyDescent="0.2">
      <c r="B43" s="1015" t="s">
        <v>92</v>
      </c>
      <c r="C43" s="733" t="s">
        <v>332</v>
      </c>
      <c r="D43" s="733" t="s">
        <v>222</v>
      </c>
      <c r="E43" s="733" t="s">
        <v>225</v>
      </c>
      <c r="F43" s="733" t="s">
        <v>226</v>
      </c>
      <c r="G43" s="733" t="s">
        <v>227</v>
      </c>
      <c r="H43" s="733" t="s">
        <v>228</v>
      </c>
      <c r="I43" s="733" t="s">
        <v>333</v>
      </c>
      <c r="J43" s="733" t="s">
        <v>334</v>
      </c>
      <c r="K43" s="733" t="s">
        <v>231</v>
      </c>
      <c r="L43" s="733" t="s">
        <v>232</v>
      </c>
      <c r="M43" s="733" t="s">
        <v>233</v>
      </c>
      <c r="N43" s="756"/>
    </row>
    <row r="44" spans="2:36" ht="15" customHeight="1" x14ac:dyDescent="0.2">
      <c r="B44" s="1016"/>
      <c r="C44" s="732" t="s">
        <v>309</v>
      </c>
      <c r="D44" s="732" t="s">
        <v>309</v>
      </c>
      <c r="E44" s="732" t="s">
        <v>309</v>
      </c>
      <c r="F44" s="732" t="s">
        <v>309</v>
      </c>
      <c r="G44" s="732" t="s">
        <v>309</v>
      </c>
      <c r="H44" s="732" t="s">
        <v>309</v>
      </c>
      <c r="I44" s="732" t="s">
        <v>309</v>
      </c>
      <c r="J44" s="732" t="s">
        <v>309</v>
      </c>
      <c r="K44" s="732" t="s">
        <v>309</v>
      </c>
      <c r="L44" s="732" t="s">
        <v>309</v>
      </c>
      <c r="M44" s="734" t="s">
        <v>309</v>
      </c>
      <c r="N44" s="757"/>
    </row>
    <row r="45" spans="2:36" ht="30" customHeight="1" thickBot="1" x14ac:dyDescent="0.25">
      <c r="B45" s="1017"/>
      <c r="C45" s="735" t="s">
        <v>326</v>
      </c>
      <c r="D45" s="735" t="s">
        <v>326</v>
      </c>
      <c r="E45" s="735" t="s">
        <v>326</v>
      </c>
      <c r="F45" s="735" t="s">
        <v>326</v>
      </c>
      <c r="G45" s="735" t="s">
        <v>326</v>
      </c>
      <c r="H45" s="735" t="s">
        <v>326</v>
      </c>
      <c r="I45" s="735" t="s">
        <v>326</v>
      </c>
      <c r="J45" s="735" t="s">
        <v>326</v>
      </c>
      <c r="K45" s="735" t="s">
        <v>326</v>
      </c>
      <c r="L45" s="735" t="s">
        <v>326</v>
      </c>
      <c r="M45" s="735" t="s">
        <v>326</v>
      </c>
      <c r="N45" s="758"/>
    </row>
    <row r="46" spans="2:36" ht="15" customHeight="1" x14ac:dyDescent="0.2">
      <c r="B46" s="736" t="s">
        <v>721</v>
      </c>
      <c r="C46" s="737">
        <f>C26</f>
        <v>2957.9369999999999</v>
      </c>
      <c r="D46" s="737">
        <f>E26</f>
        <v>3264.904</v>
      </c>
      <c r="E46" s="737">
        <f>G26</f>
        <v>2956.4490000000001</v>
      </c>
      <c r="F46" s="737">
        <f>I26</f>
        <v>3052.6990000000001</v>
      </c>
      <c r="G46" s="737">
        <f>K26</f>
        <v>2910.4050000000002</v>
      </c>
      <c r="H46" s="737">
        <f>M26</f>
        <v>2272.7440000000001</v>
      </c>
      <c r="I46" s="737">
        <f>O26</f>
        <v>0</v>
      </c>
      <c r="J46" s="737">
        <f>Q26</f>
        <v>0</v>
      </c>
      <c r="K46" s="737">
        <f>S26</f>
        <v>0</v>
      </c>
      <c r="L46" s="737">
        <f>U26</f>
        <v>0</v>
      </c>
      <c r="M46" s="738">
        <f>W26</f>
        <v>0</v>
      </c>
      <c r="N46" s="737"/>
    </row>
    <row r="47" spans="2:36" ht="15" customHeight="1" x14ac:dyDescent="0.2">
      <c r="B47" s="739" t="s">
        <v>286</v>
      </c>
      <c r="C47" s="740">
        <f t="shared" ref="C47:C60" si="11">C27</f>
        <v>238.006</v>
      </c>
      <c r="D47" s="740">
        <f t="shared" ref="D47:D60" si="12">E27</f>
        <v>258.863</v>
      </c>
      <c r="E47" s="740">
        <f t="shared" ref="E47:E60" si="13">G27</f>
        <v>420.42200000000003</v>
      </c>
      <c r="F47" s="740">
        <f t="shared" ref="F47:F60" si="14">I27</f>
        <v>350.44</v>
      </c>
      <c r="G47" s="740">
        <f t="shared" ref="G47:G60" si="15">K27</f>
        <v>257.19099999999997</v>
      </c>
      <c r="H47" s="740">
        <f t="shared" ref="H47:H60" si="16">M27</f>
        <v>166.393</v>
      </c>
      <c r="I47" s="740">
        <f t="shared" ref="I47:I60" si="17">O27</f>
        <v>0</v>
      </c>
      <c r="J47" s="740">
        <f t="shared" ref="J47:J60" si="18">Q27</f>
        <v>0</v>
      </c>
      <c r="K47" s="740">
        <f t="shared" ref="K47:K60" si="19">S27</f>
        <v>0</v>
      </c>
      <c r="L47" s="740">
        <f t="shared" ref="L47:L60" si="20">U27</f>
        <v>0</v>
      </c>
      <c r="M47" s="741">
        <f t="shared" ref="M47:M60" si="21">W27</f>
        <v>0</v>
      </c>
      <c r="N47" s="740"/>
    </row>
    <row r="48" spans="2:36" ht="15" customHeight="1" x14ac:dyDescent="0.2">
      <c r="B48" s="739" t="s">
        <v>307</v>
      </c>
      <c r="C48" s="740">
        <f t="shared" si="11"/>
        <v>330.42700000000002</v>
      </c>
      <c r="D48" s="740">
        <f t="shared" si="12"/>
        <v>520.34100000000001</v>
      </c>
      <c r="E48" s="740">
        <f t="shared" si="13"/>
        <v>232.18</v>
      </c>
      <c r="F48" s="740">
        <f t="shared" si="14"/>
        <v>212.33600000000001</v>
      </c>
      <c r="G48" s="740">
        <f t="shared" si="15"/>
        <v>227.797</v>
      </c>
      <c r="H48" s="740">
        <f t="shared" si="16"/>
        <v>166.84</v>
      </c>
      <c r="I48" s="740">
        <f t="shared" si="17"/>
        <v>0</v>
      </c>
      <c r="J48" s="740">
        <f t="shared" si="18"/>
        <v>0</v>
      </c>
      <c r="K48" s="740">
        <f t="shared" si="19"/>
        <v>0</v>
      </c>
      <c r="L48" s="740">
        <f t="shared" si="20"/>
        <v>0</v>
      </c>
      <c r="M48" s="741">
        <f t="shared" si="21"/>
        <v>0</v>
      </c>
      <c r="N48" s="740"/>
    </row>
    <row r="49" spans="2:14" ht="15" customHeight="1" x14ac:dyDescent="0.2">
      <c r="B49" s="739" t="s">
        <v>287</v>
      </c>
      <c r="C49" s="740">
        <f t="shared" si="11"/>
        <v>166.202</v>
      </c>
      <c r="D49" s="740">
        <f t="shared" si="12"/>
        <v>201.37</v>
      </c>
      <c r="E49" s="740">
        <f t="shared" si="13"/>
        <v>164.31299999999999</v>
      </c>
      <c r="F49" s="740">
        <f t="shared" si="14"/>
        <v>251.798</v>
      </c>
      <c r="G49" s="740">
        <f t="shared" si="15"/>
        <v>269.90499999999997</v>
      </c>
      <c r="H49" s="740">
        <f t="shared" si="16"/>
        <v>213.79300000000001</v>
      </c>
      <c r="I49" s="740">
        <f t="shared" si="17"/>
        <v>0</v>
      </c>
      <c r="J49" s="740">
        <f t="shared" si="18"/>
        <v>0</v>
      </c>
      <c r="K49" s="740">
        <f t="shared" si="19"/>
        <v>0</v>
      </c>
      <c r="L49" s="740">
        <f t="shared" si="20"/>
        <v>0</v>
      </c>
      <c r="M49" s="741">
        <f t="shared" si="21"/>
        <v>0</v>
      </c>
      <c r="N49" s="740"/>
    </row>
    <row r="50" spans="2:14" ht="15" customHeight="1" x14ac:dyDescent="0.2">
      <c r="B50" s="739" t="s">
        <v>288</v>
      </c>
      <c r="C50" s="740">
        <f t="shared" si="11"/>
        <v>80.561999999999998</v>
      </c>
      <c r="D50" s="740">
        <f t="shared" si="12"/>
        <v>104.88500000000001</v>
      </c>
      <c r="E50" s="740">
        <f t="shared" si="13"/>
        <v>134.94200000000001</v>
      </c>
      <c r="F50" s="740">
        <f t="shared" si="14"/>
        <v>136.261</v>
      </c>
      <c r="G50" s="740">
        <f t="shared" si="15"/>
        <v>63.215000000000003</v>
      </c>
      <c r="H50" s="740">
        <f t="shared" si="16"/>
        <v>80.111000000000004</v>
      </c>
      <c r="I50" s="740">
        <f t="shared" si="17"/>
        <v>0</v>
      </c>
      <c r="J50" s="740">
        <f t="shared" si="18"/>
        <v>0</v>
      </c>
      <c r="K50" s="740">
        <f t="shared" si="19"/>
        <v>0</v>
      </c>
      <c r="L50" s="740">
        <f t="shared" si="20"/>
        <v>0</v>
      </c>
      <c r="M50" s="741">
        <f t="shared" si="21"/>
        <v>0</v>
      </c>
      <c r="N50" s="740"/>
    </row>
    <row r="51" spans="2:14" ht="15" customHeight="1" x14ac:dyDescent="0.2">
      <c r="B51" s="739" t="s">
        <v>305</v>
      </c>
      <c r="C51" s="740">
        <f t="shared" si="11"/>
        <v>22.687000000000001</v>
      </c>
      <c r="D51" s="740">
        <f t="shared" si="12"/>
        <v>47.752000000000002</v>
      </c>
      <c r="E51" s="740">
        <f t="shared" si="13"/>
        <v>23.611000000000001</v>
      </c>
      <c r="F51" s="740">
        <f t="shared" si="14"/>
        <v>29.257999999999999</v>
      </c>
      <c r="G51" s="740">
        <f t="shared" si="15"/>
        <v>28.265000000000001</v>
      </c>
      <c r="H51" s="740">
        <f t="shared" si="16"/>
        <v>19.815999999999999</v>
      </c>
      <c r="I51" s="740">
        <f t="shared" si="17"/>
        <v>0</v>
      </c>
      <c r="J51" s="740">
        <f t="shared" si="18"/>
        <v>0</v>
      </c>
      <c r="K51" s="740">
        <f t="shared" si="19"/>
        <v>0</v>
      </c>
      <c r="L51" s="740">
        <f t="shared" si="20"/>
        <v>0</v>
      </c>
      <c r="M51" s="741">
        <f t="shared" si="21"/>
        <v>0</v>
      </c>
      <c r="N51" s="740"/>
    </row>
    <row r="52" spans="2:14" ht="15" customHeight="1" x14ac:dyDescent="0.2">
      <c r="B52" s="739" t="s">
        <v>289</v>
      </c>
      <c r="C52" s="740">
        <f t="shared" si="11"/>
        <v>27.053000000000001</v>
      </c>
      <c r="D52" s="740">
        <f t="shared" si="12"/>
        <v>62.036000000000001</v>
      </c>
      <c r="E52" s="740">
        <f t="shared" si="13"/>
        <v>48.756999999999998</v>
      </c>
      <c r="F52" s="740">
        <f t="shared" si="14"/>
        <v>21.864000000000001</v>
      </c>
      <c r="G52" s="740">
        <f t="shared" si="15"/>
        <v>52.98</v>
      </c>
      <c r="H52" s="740">
        <f t="shared" si="16"/>
        <v>58.429000000000002</v>
      </c>
      <c r="I52" s="740">
        <f t="shared" si="17"/>
        <v>0</v>
      </c>
      <c r="J52" s="740">
        <f t="shared" si="18"/>
        <v>0</v>
      </c>
      <c r="K52" s="740">
        <f t="shared" si="19"/>
        <v>0</v>
      </c>
      <c r="L52" s="740">
        <f t="shared" si="20"/>
        <v>0</v>
      </c>
      <c r="M52" s="741">
        <f t="shared" si="21"/>
        <v>0</v>
      </c>
      <c r="N52" s="740"/>
    </row>
    <row r="53" spans="2:14" ht="15" customHeight="1" x14ac:dyDescent="0.2">
      <c r="B53" s="739" t="s">
        <v>306</v>
      </c>
      <c r="C53" s="740">
        <f t="shared" si="11"/>
        <v>160.82599999999999</v>
      </c>
      <c r="D53" s="740">
        <f t="shared" si="12"/>
        <v>139.34299999999999</v>
      </c>
      <c r="E53" s="740">
        <f t="shared" si="13"/>
        <v>172.786</v>
      </c>
      <c r="F53" s="740">
        <f t="shared" si="14"/>
        <v>93.953999999999994</v>
      </c>
      <c r="G53" s="740">
        <f t="shared" si="15"/>
        <v>86.736999999999995</v>
      </c>
      <c r="H53" s="740">
        <f t="shared" si="16"/>
        <v>116.59699999999999</v>
      </c>
      <c r="I53" s="740">
        <f t="shared" si="17"/>
        <v>0</v>
      </c>
      <c r="J53" s="740">
        <f t="shared" si="18"/>
        <v>0</v>
      </c>
      <c r="K53" s="740">
        <f t="shared" si="19"/>
        <v>0</v>
      </c>
      <c r="L53" s="740">
        <f t="shared" si="20"/>
        <v>0</v>
      </c>
      <c r="M53" s="741">
        <f t="shared" si="21"/>
        <v>0</v>
      </c>
      <c r="N53" s="740"/>
    </row>
    <row r="54" spans="2:14" ht="15" customHeight="1" x14ac:dyDescent="0.2">
      <c r="B54" s="739" t="s">
        <v>290</v>
      </c>
      <c r="C54" s="740">
        <f t="shared" si="11"/>
        <v>67.429000000000002</v>
      </c>
      <c r="D54" s="740">
        <f t="shared" si="12"/>
        <v>57.585000000000001</v>
      </c>
      <c r="E54" s="740">
        <f t="shared" si="13"/>
        <v>42.152000000000001</v>
      </c>
      <c r="F54" s="740">
        <f t="shared" si="14"/>
        <v>70.442999999999998</v>
      </c>
      <c r="G54" s="740">
        <f t="shared" si="15"/>
        <v>80.106999999999999</v>
      </c>
      <c r="H54" s="740">
        <f t="shared" si="16"/>
        <v>47.362000000000002</v>
      </c>
      <c r="I54" s="740">
        <f t="shared" si="17"/>
        <v>0</v>
      </c>
      <c r="J54" s="740">
        <f t="shared" si="18"/>
        <v>0</v>
      </c>
      <c r="K54" s="740">
        <f t="shared" si="19"/>
        <v>0</v>
      </c>
      <c r="L54" s="740">
        <f t="shared" si="20"/>
        <v>0</v>
      </c>
      <c r="M54" s="741">
        <f t="shared" si="21"/>
        <v>0</v>
      </c>
      <c r="N54" s="740"/>
    </row>
    <row r="55" spans="2:14" ht="15" customHeight="1" x14ac:dyDescent="0.2">
      <c r="B55" s="739" t="s">
        <v>291</v>
      </c>
      <c r="C55" s="740">
        <f t="shared" si="11"/>
        <v>287.02800000000002</v>
      </c>
      <c r="D55" s="740">
        <f t="shared" si="12"/>
        <v>374.25299999999999</v>
      </c>
      <c r="E55" s="740">
        <f t="shared" si="13"/>
        <v>370.53500000000003</v>
      </c>
      <c r="F55" s="740">
        <f t="shared" si="14"/>
        <v>488.64299999999997</v>
      </c>
      <c r="G55" s="740">
        <f t="shared" si="15"/>
        <v>543.79</v>
      </c>
      <c r="H55" s="740">
        <f t="shared" si="16"/>
        <v>491.47399999999999</v>
      </c>
      <c r="I55" s="740">
        <f t="shared" si="17"/>
        <v>0</v>
      </c>
      <c r="J55" s="740">
        <f t="shared" si="18"/>
        <v>0</v>
      </c>
      <c r="K55" s="740">
        <f t="shared" si="19"/>
        <v>0</v>
      </c>
      <c r="L55" s="740">
        <f t="shared" si="20"/>
        <v>0</v>
      </c>
      <c r="M55" s="741">
        <f t="shared" si="21"/>
        <v>0</v>
      </c>
      <c r="N55" s="740"/>
    </row>
    <row r="56" spans="2:14" ht="15" customHeight="1" x14ac:dyDescent="0.2">
      <c r="B56" s="739" t="s">
        <v>292</v>
      </c>
      <c r="C56" s="740">
        <f t="shared" si="11"/>
        <v>215.75200000000001</v>
      </c>
      <c r="D56" s="740">
        <f t="shared" si="12"/>
        <v>244.52500000000001</v>
      </c>
      <c r="E56" s="740">
        <f t="shared" si="13"/>
        <v>207.72200000000001</v>
      </c>
      <c r="F56" s="740">
        <f t="shared" si="14"/>
        <v>217.655</v>
      </c>
      <c r="G56" s="740">
        <f t="shared" si="15"/>
        <v>220.10900000000001</v>
      </c>
      <c r="H56" s="740">
        <f t="shared" si="16"/>
        <v>136.70099999999999</v>
      </c>
      <c r="I56" s="740">
        <f t="shared" si="17"/>
        <v>0</v>
      </c>
      <c r="J56" s="740">
        <f t="shared" si="18"/>
        <v>0</v>
      </c>
      <c r="K56" s="740">
        <f t="shared" si="19"/>
        <v>0</v>
      </c>
      <c r="L56" s="740">
        <f t="shared" si="20"/>
        <v>0</v>
      </c>
      <c r="M56" s="741">
        <f t="shared" si="21"/>
        <v>0</v>
      </c>
      <c r="N56" s="740"/>
    </row>
    <row r="57" spans="2:14" ht="15" customHeight="1" x14ac:dyDescent="0.2">
      <c r="B57" s="739" t="s">
        <v>293</v>
      </c>
      <c r="C57" s="740">
        <f t="shared" si="11"/>
        <v>268.62799999999999</v>
      </c>
      <c r="D57" s="740">
        <f t="shared" si="12"/>
        <v>198.71100000000001</v>
      </c>
      <c r="E57" s="740">
        <f t="shared" si="13"/>
        <v>222.637</v>
      </c>
      <c r="F57" s="740">
        <f t="shared" si="14"/>
        <v>318.28699999999998</v>
      </c>
      <c r="G57" s="740">
        <f t="shared" si="15"/>
        <v>226.78299999999999</v>
      </c>
      <c r="H57" s="740">
        <f t="shared" si="16"/>
        <v>196.238</v>
      </c>
      <c r="I57" s="740">
        <f t="shared" si="17"/>
        <v>0</v>
      </c>
      <c r="J57" s="740">
        <f t="shared" si="18"/>
        <v>0</v>
      </c>
      <c r="K57" s="740">
        <f t="shared" si="19"/>
        <v>0</v>
      </c>
      <c r="L57" s="740">
        <f t="shared" si="20"/>
        <v>0</v>
      </c>
      <c r="M57" s="741">
        <f t="shared" si="21"/>
        <v>0</v>
      </c>
      <c r="N57" s="740"/>
    </row>
    <row r="58" spans="2:14" ht="15" customHeight="1" x14ac:dyDescent="0.2">
      <c r="B58" s="739" t="s">
        <v>294</v>
      </c>
      <c r="C58" s="740">
        <f t="shared" si="11"/>
        <v>352.09399999999999</v>
      </c>
      <c r="D58" s="740">
        <f t="shared" si="12"/>
        <v>312.339</v>
      </c>
      <c r="E58" s="740">
        <f t="shared" si="13"/>
        <v>247.75899999999999</v>
      </c>
      <c r="F58" s="740">
        <f t="shared" si="14"/>
        <v>245.41300000000001</v>
      </c>
      <c r="G58" s="740">
        <f t="shared" si="15"/>
        <v>187.584</v>
      </c>
      <c r="H58" s="740">
        <f t="shared" si="16"/>
        <v>155.52799999999999</v>
      </c>
      <c r="I58" s="740">
        <f t="shared" si="17"/>
        <v>0</v>
      </c>
      <c r="J58" s="740">
        <f t="shared" si="18"/>
        <v>0</v>
      </c>
      <c r="K58" s="740">
        <f t="shared" si="19"/>
        <v>0</v>
      </c>
      <c r="L58" s="740">
        <f t="shared" si="20"/>
        <v>0</v>
      </c>
      <c r="M58" s="741">
        <f t="shared" si="21"/>
        <v>0</v>
      </c>
      <c r="N58" s="740"/>
    </row>
    <row r="59" spans="2:14" ht="15" customHeight="1" x14ac:dyDescent="0.2">
      <c r="B59" s="739" t="s">
        <v>295</v>
      </c>
      <c r="C59" s="740">
        <f t="shared" si="11"/>
        <v>467.99599999999998</v>
      </c>
      <c r="D59" s="740">
        <f t="shared" si="12"/>
        <v>420.09199999999998</v>
      </c>
      <c r="E59" s="740">
        <f t="shared" si="13"/>
        <v>370.84199999999998</v>
      </c>
      <c r="F59" s="740">
        <f t="shared" si="14"/>
        <v>286.964</v>
      </c>
      <c r="G59" s="740">
        <f t="shared" si="15"/>
        <v>446.91</v>
      </c>
      <c r="H59" s="740">
        <f t="shared" si="16"/>
        <v>221.53100000000001</v>
      </c>
      <c r="I59" s="740">
        <f t="shared" si="17"/>
        <v>0</v>
      </c>
      <c r="J59" s="740">
        <f t="shared" si="18"/>
        <v>0</v>
      </c>
      <c r="K59" s="740">
        <f t="shared" si="19"/>
        <v>0</v>
      </c>
      <c r="L59" s="740">
        <f t="shared" si="20"/>
        <v>0</v>
      </c>
      <c r="M59" s="741">
        <f t="shared" si="21"/>
        <v>0</v>
      </c>
      <c r="N59" s="740"/>
    </row>
    <row r="60" spans="2:14" ht="15" customHeight="1" thickBot="1" x14ac:dyDescent="0.25">
      <c r="B60" s="742" t="s">
        <v>296</v>
      </c>
      <c r="C60" s="743">
        <f t="shared" si="11"/>
        <v>273.24700000000001</v>
      </c>
      <c r="D60" s="743">
        <f t="shared" si="12"/>
        <v>322.80900000000003</v>
      </c>
      <c r="E60" s="743">
        <f t="shared" si="13"/>
        <v>297.791</v>
      </c>
      <c r="F60" s="743">
        <f t="shared" si="14"/>
        <v>329.38299999999998</v>
      </c>
      <c r="G60" s="743">
        <f t="shared" si="15"/>
        <v>219.03200000000001</v>
      </c>
      <c r="H60" s="743">
        <f t="shared" si="16"/>
        <v>201.93100000000001</v>
      </c>
      <c r="I60" s="743">
        <f t="shared" si="17"/>
        <v>0</v>
      </c>
      <c r="J60" s="743">
        <f t="shared" si="18"/>
        <v>0</v>
      </c>
      <c r="K60" s="743">
        <f t="shared" si="19"/>
        <v>0</v>
      </c>
      <c r="L60" s="743">
        <f t="shared" si="20"/>
        <v>0</v>
      </c>
      <c r="M60" s="744">
        <f t="shared" si="21"/>
        <v>0</v>
      </c>
      <c r="N60" s="740"/>
    </row>
    <row r="63" spans="2:14" ht="15" customHeight="1" x14ac:dyDescent="0.2">
      <c r="B63" s="1015" t="s">
        <v>92</v>
      </c>
      <c r="C63" s="733" t="s">
        <v>332</v>
      </c>
      <c r="D63" s="733" t="s">
        <v>222</v>
      </c>
      <c r="E63" s="733" t="s">
        <v>225</v>
      </c>
      <c r="F63" s="733" t="s">
        <v>226</v>
      </c>
      <c r="G63" s="733" t="s">
        <v>227</v>
      </c>
      <c r="H63" s="733" t="s">
        <v>228</v>
      </c>
      <c r="I63" s="733" t="s">
        <v>333</v>
      </c>
      <c r="J63" s="733" t="s">
        <v>334</v>
      </c>
      <c r="K63" s="733" t="s">
        <v>231</v>
      </c>
      <c r="L63" s="733" t="s">
        <v>232</v>
      </c>
      <c r="M63" s="733" t="s">
        <v>233</v>
      </c>
      <c r="N63" s="756"/>
    </row>
    <row r="64" spans="2:14" ht="15" customHeight="1" x14ac:dyDescent="0.2">
      <c r="B64" s="1016"/>
      <c r="C64" s="732" t="s">
        <v>486</v>
      </c>
      <c r="D64" s="732" t="s">
        <v>486</v>
      </c>
      <c r="E64" s="732" t="s">
        <v>486</v>
      </c>
      <c r="F64" s="732" t="s">
        <v>486</v>
      </c>
      <c r="G64" s="732" t="s">
        <v>486</v>
      </c>
      <c r="H64" s="732" t="s">
        <v>486</v>
      </c>
      <c r="I64" s="732" t="s">
        <v>486</v>
      </c>
      <c r="J64" s="732" t="s">
        <v>486</v>
      </c>
      <c r="K64" s="732" t="s">
        <v>486</v>
      </c>
      <c r="L64" s="732" t="s">
        <v>486</v>
      </c>
      <c r="M64" s="734" t="s">
        <v>486</v>
      </c>
      <c r="N64" s="757"/>
    </row>
    <row r="65" spans="2:14" ht="30" customHeight="1" thickBot="1" x14ac:dyDescent="0.25">
      <c r="B65" s="1017"/>
      <c r="C65" s="735" t="s">
        <v>326</v>
      </c>
      <c r="D65" s="735" t="s">
        <v>326</v>
      </c>
      <c r="E65" s="735" t="s">
        <v>326</v>
      </c>
      <c r="F65" s="735" t="s">
        <v>326</v>
      </c>
      <c r="G65" s="735" t="s">
        <v>326</v>
      </c>
      <c r="H65" s="735" t="s">
        <v>326</v>
      </c>
      <c r="I65" s="735" t="s">
        <v>326</v>
      </c>
      <c r="J65" s="735" t="s">
        <v>326</v>
      </c>
      <c r="K65" s="735" t="s">
        <v>326</v>
      </c>
      <c r="L65" s="735" t="s">
        <v>326</v>
      </c>
      <c r="M65" s="735" t="s">
        <v>326</v>
      </c>
      <c r="N65" s="758"/>
    </row>
    <row r="66" spans="2:14" ht="15" customHeight="1" x14ac:dyDescent="0.2">
      <c r="B66" s="736" t="s">
        <v>721</v>
      </c>
      <c r="C66" s="737">
        <f>SUM(C6,C26)</f>
        <v>4315.5749999999998</v>
      </c>
      <c r="D66" s="737">
        <f>SUM(D6,E26)</f>
        <v>4416.3530000000001</v>
      </c>
      <c r="E66" s="737">
        <f>SUM(E6,G26)</f>
        <v>4079.3850000000002</v>
      </c>
      <c r="F66" s="737">
        <f>SUM(F6,I26)</f>
        <v>4198.8140000000003</v>
      </c>
      <c r="G66" s="737">
        <f>SUM(G6,K26)</f>
        <v>4005.1950000000002</v>
      </c>
      <c r="H66" s="737">
        <f>SUM(H6,M26)</f>
        <v>3373.1030000000001</v>
      </c>
      <c r="I66" s="737">
        <f>SUM(I6,O26)</f>
        <v>0</v>
      </c>
      <c r="J66" s="737">
        <f>SUM(J6,Q26)</f>
        <v>0</v>
      </c>
      <c r="K66" s="737">
        <f>SUM(K6,S26)</f>
        <v>0</v>
      </c>
      <c r="L66" s="737">
        <f>SUM(L6,U26)</f>
        <v>0</v>
      </c>
      <c r="M66" s="738">
        <f>SUM(M6,W26)</f>
        <v>0</v>
      </c>
      <c r="N66" s="737"/>
    </row>
    <row r="67" spans="2:14" ht="15" customHeight="1" x14ac:dyDescent="0.2">
      <c r="B67" s="739" t="s">
        <v>286</v>
      </c>
      <c r="C67" s="740">
        <f t="shared" ref="C67:C80" si="22">SUM(C7,C27)</f>
        <v>407.041</v>
      </c>
      <c r="D67" s="740">
        <f t="shared" ref="D67:D80" si="23">SUM(D7,E27)</f>
        <v>379.16800000000001</v>
      </c>
      <c r="E67" s="740">
        <f t="shared" ref="E67:E80" si="24">SUM(E7,G27)</f>
        <v>563.53500000000008</v>
      </c>
      <c r="F67" s="740">
        <f t="shared" ref="F67:F80" si="25">SUM(F7,I27)</f>
        <v>495.911</v>
      </c>
      <c r="G67" s="740">
        <f t="shared" ref="G67:G80" si="26">SUM(G7,K27)</f>
        <v>366.94399999999996</v>
      </c>
      <c r="H67" s="740">
        <f t="shared" ref="H67:H80" si="27">SUM(H7,M27)</f>
        <v>296.97500000000002</v>
      </c>
      <c r="I67" s="740">
        <f t="shared" ref="I67:I80" si="28">SUM(I7,O27)</f>
        <v>0</v>
      </c>
      <c r="J67" s="740">
        <f t="shared" ref="J67:J80" si="29">SUM(J7,Q27)</f>
        <v>0</v>
      </c>
      <c r="K67" s="740">
        <f t="shared" ref="K67:K80" si="30">SUM(K7,S27)</f>
        <v>0</v>
      </c>
      <c r="L67" s="740">
        <f t="shared" ref="L67:L80" si="31">SUM(L7,U27)</f>
        <v>0</v>
      </c>
      <c r="M67" s="741">
        <f t="shared" ref="M67:M80" si="32">SUM(M7,W27)</f>
        <v>0</v>
      </c>
      <c r="N67" s="740"/>
    </row>
    <row r="68" spans="2:14" ht="15" customHeight="1" x14ac:dyDescent="0.2">
      <c r="B68" s="739" t="s">
        <v>307</v>
      </c>
      <c r="C68" s="740">
        <f t="shared" si="22"/>
        <v>406.27600000000001</v>
      </c>
      <c r="D68" s="740">
        <f t="shared" si="23"/>
        <v>592.44100000000003</v>
      </c>
      <c r="E68" s="740">
        <f t="shared" si="24"/>
        <v>304.904</v>
      </c>
      <c r="F68" s="740">
        <f t="shared" si="25"/>
        <v>304.399</v>
      </c>
      <c r="G68" s="740">
        <f t="shared" si="26"/>
        <v>304.31399999999996</v>
      </c>
      <c r="H68" s="740">
        <f t="shared" si="27"/>
        <v>255.845</v>
      </c>
      <c r="I68" s="740">
        <f t="shared" si="28"/>
        <v>0</v>
      </c>
      <c r="J68" s="740">
        <f t="shared" si="29"/>
        <v>0</v>
      </c>
      <c r="K68" s="740">
        <f t="shared" si="30"/>
        <v>0</v>
      </c>
      <c r="L68" s="740">
        <f t="shared" si="31"/>
        <v>0</v>
      </c>
      <c r="M68" s="741">
        <f t="shared" si="32"/>
        <v>0</v>
      </c>
      <c r="N68" s="740"/>
    </row>
    <row r="69" spans="2:14" ht="15" customHeight="1" x14ac:dyDescent="0.2">
      <c r="B69" s="739" t="s">
        <v>287</v>
      </c>
      <c r="C69" s="740">
        <f t="shared" si="22"/>
        <v>334.46899999999999</v>
      </c>
      <c r="D69" s="740">
        <f t="shared" si="23"/>
        <v>351.05100000000004</v>
      </c>
      <c r="E69" s="740">
        <f t="shared" si="24"/>
        <v>307.07</v>
      </c>
      <c r="F69" s="740">
        <f t="shared" si="25"/>
        <v>415.77100000000002</v>
      </c>
      <c r="G69" s="740">
        <f t="shared" si="26"/>
        <v>433.87799999999999</v>
      </c>
      <c r="H69" s="740">
        <f t="shared" si="27"/>
        <v>382.81</v>
      </c>
      <c r="I69" s="740">
        <f t="shared" si="28"/>
        <v>0</v>
      </c>
      <c r="J69" s="740">
        <f t="shared" si="29"/>
        <v>0</v>
      </c>
      <c r="K69" s="740">
        <f t="shared" si="30"/>
        <v>0</v>
      </c>
      <c r="L69" s="740">
        <f t="shared" si="31"/>
        <v>0</v>
      </c>
      <c r="M69" s="741">
        <f t="shared" si="32"/>
        <v>0</v>
      </c>
      <c r="N69" s="740"/>
    </row>
    <row r="70" spans="2:14" ht="15" customHeight="1" x14ac:dyDescent="0.2">
      <c r="B70" s="739" t="s">
        <v>288</v>
      </c>
      <c r="C70" s="740">
        <f t="shared" si="22"/>
        <v>127.979</v>
      </c>
      <c r="D70" s="740">
        <f t="shared" si="23"/>
        <v>155.899</v>
      </c>
      <c r="E70" s="740">
        <f t="shared" si="24"/>
        <v>180.25900000000001</v>
      </c>
      <c r="F70" s="740">
        <f t="shared" si="25"/>
        <v>175.09199999999998</v>
      </c>
      <c r="G70" s="740">
        <f t="shared" si="26"/>
        <v>110.271</v>
      </c>
      <c r="H70" s="740">
        <f t="shared" si="27"/>
        <v>113.279</v>
      </c>
      <c r="I70" s="740">
        <f t="shared" si="28"/>
        <v>0</v>
      </c>
      <c r="J70" s="740">
        <f t="shared" si="29"/>
        <v>0</v>
      </c>
      <c r="K70" s="740">
        <f t="shared" si="30"/>
        <v>0</v>
      </c>
      <c r="L70" s="740">
        <f t="shared" si="31"/>
        <v>0</v>
      </c>
      <c r="M70" s="741">
        <f t="shared" si="32"/>
        <v>0</v>
      </c>
      <c r="N70" s="740"/>
    </row>
    <row r="71" spans="2:14" ht="15" customHeight="1" x14ac:dyDescent="0.2">
      <c r="B71" s="739" t="s">
        <v>305</v>
      </c>
      <c r="C71" s="740">
        <f t="shared" si="22"/>
        <v>25.514000000000003</v>
      </c>
      <c r="D71" s="740">
        <f t="shared" si="23"/>
        <v>55.722000000000001</v>
      </c>
      <c r="E71" s="740">
        <f t="shared" si="24"/>
        <v>29.957000000000001</v>
      </c>
      <c r="F71" s="740">
        <f t="shared" si="25"/>
        <v>33.829000000000001</v>
      </c>
      <c r="G71" s="740">
        <f t="shared" si="26"/>
        <v>34.227000000000004</v>
      </c>
      <c r="H71" s="740">
        <f t="shared" si="27"/>
        <v>25.134</v>
      </c>
      <c r="I71" s="740">
        <f t="shared" si="28"/>
        <v>0</v>
      </c>
      <c r="J71" s="740">
        <f t="shared" si="29"/>
        <v>0</v>
      </c>
      <c r="K71" s="740">
        <f t="shared" si="30"/>
        <v>0</v>
      </c>
      <c r="L71" s="740">
        <f t="shared" si="31"/>
        <v>0</v>
      </c>
      <c r="M71" s="741">
        <f t="shared" si="32"/>
        <v>0</v>
      </c>
      <c r="N71" s="740"/>
    </row>
    <row r="72" spans="2:14" ht="15" customHeight="1" x14ac:dyDescent="0.2">
      <c r="B72" s="739" t="s">
        <v>289</v>
      </c>
      <c r="C72" s="740">
        <f t="shared" si="22"/>
        <v>27.532</v>
      </c>
      <c r="D72" s="740">
        <f t="shared" si="23"/>
        <v>62.685000000000002</v>
      </c>
      <c r="E72" s="740">
        <f t="shared" si="24"/>
        <v>49.244</v>
      </c>
      <c r="F72" s="740">
        <f t="shared" si="25"/>
        <v>23.475999999999999</v>
      </c>
      <c r="G72" s="740">
        <f t="shared" si="26"/>
        <v>55.321999999999996</v>
      </c>
      <c r="H72" s="740">
        <f t="shared" si="27"/>
        <v>66.457000000000008</v>
      </c>
      <c r="I72" s="740">
        <f t="shared" si="28"/>
        <v>0</v>
      </c>
      <c r="J72" s="740">
        <f t="shared" si="29"/>
        <v>0</v>
      </c>
      <c r="K72" s="740">
        <f t="shared" si="30"/>
        <v>0</v>
      </c>
      <c r="L72" s="740">
        <f t="shared" si="31"/>
        <v>0</v>
      </c>
      <c r="M72" s="741">
        <f t="shared" si="32"/>
        <v>0</v>
      </c>
      <c r="N72" s="740"/>
    </row>
    <row r="73" spans="2:14" ht="15" customHeight="1" x14ac:dyDescent="0.2">
      <c r="B73" s="739" t="s">
        <v>306</v>
      </c>
      <c r="C73" s="740">
        <f t="shared" si="22"/>
        <v>174.13800000000001</v>
      </c>
      <c r="D73" s="740">
        <f t="shared" si="23"/>
        <v>154.935</v>
      </c>
      <c r="E73" s="740">
        <f t="shared" si="24"/>
        <v>186.46700000000001</v>
      </c>
      <c r="F73" s="740">
        <f t="shared" si="25"/>
        <v>112.44499999999999</v>
      </c>
      <c r="G73" s="740">
        <f t="shared" si="26"/>
        <v>106.086</v>
      </c>
      <c r="H73" s="740">
        <f t="shared" si="27"/>
        <v>141.87199999999999</v>
      </c>
      <c r="I73" s="740">
        <f t="shared" si="28"/>
        <v>0</v>
      </c>
      <c r="J73" s="740">
        <f t="shared" si="29"/>
        <v>0</v>
      </c>
      <c r="K73" s="740">
        <f t="shared" si="30"/>
        <v>0</v>
      </c>
      <c r="L73" s="740">
        <f t="shared" si="31"/>
        <v>0</v>
      </c>
      <c r="M73" s="741">
        <f t="shared" si="32"/>
        <v>0</v>
      </c>
      <c r="N73" s="740"/>
    </row>
    <row r="74" spans="2:14" ht="15" customHeight="1" x14ac:dyDescent="0.2">
      <c r="B74" s="739" t="s">
        <v>290</v>
      </c>
      <c r="C74" s="740">
        <f t="shared" si="22"/>
        <v>94.585999999999999</v>
      </c>
      <c r="D74" s="740">
        <f t="shared" si="23"/>
        <v>76.403000000000006</v>
      </c>
      <c r="E74" s="740">
        <f t="shared" si="24"/>
        <v>63.631</v>
      </c>
      <c r="F74" s="740">
        <f t="shared" si="25"/>
        <v>96.376000000000005</v>
      </c>
      <c r="G74" s="740">
        <f t="shared" si="26"/>
        <v>104.029</v>
      </c>
      <c r="H74" s="740">
        <f t="shared" si="27"/>
        <v>67.742999999999995</v>
      </c>
      <c r="I74" s="740">
        <f t="shared" si="28"/>
        <v>0</v>
      </c>
      <c r="J74" s="740">
        <f t="shared" si="29"/>
        <v>0</v>
      </c>
      <c r="K74" s="740">
        <f t="shared" si="30"/>
        <v>0</v>
      </c>
      <c r="L74" s="740">
        <f t="shared" si="31"/>
        <v>0</v>
      </c>
      <c r="M74" s="741">
        <f t="shared" si="32"/>
        <v>0</v>
      </c>
      <c r="N74" s="740"/>
    </row>
    <row r="75" spans="2:14" ht="15" customHeight="1" x14ac:dyDescent="0.2">
      <c r="B75" s="739" t="s">
        <v>291</v>
      </c>
      <c r="C75" s="740">
        <f t="shared" si="22"/>
        <v>818.62900000000002</v>
      </c>
      <c r="D75" s="740">
        <f t="shared" si="23"/>
        <v>738.75900000000001</v>
      </c>
      <c r="E75" s="740">
        <f t="shared" si="24"/>
        <v>676.61400000000003</v>
      </c>
      <c r="F75" s="740">
        <f t="shared" si="25"/>
        <v>773.03499999999997</v>
      </c>
      <c r="G75" s="740">
        <f t="shared" si="26"/>
        <v>827.86400000000003</v>
      </c>
      <c r="H75" s="740">
        <f t="shared" si="27"/>
        <v>731.29899999999998</v>
      </c>
      <c r="I75" s="740">
        <f t="shared" si="28"/>
        <v>0</v>
      </c>
      <c r="J75" s="740">
        <f t="shared" si="29"/>
        <v>0</v>
      </c>
      <c r="K75" s="740">
        <f t="shared" si="30"/>
        <v>0</v>
      </c>
      <c r="L75" s="740">
        <f t="shared" si="31"/>
        <v>0</v>
      </c>
      <c r="M75" s="741">
        <f t="shared" si="32"/>
        <v>0</v>
      </c>
      <c r="N75" s="740"/>
    </row>
    <row r="76" spans="2:14" ht="15" customHeight="1" x14ac:dyDescent="0.2">
      <c r="B76" s="739" t="s">
        <v>292</v>
      </c>
      <c r="C76" s="740">
        <f t="shared" si="22"/>
        <v>261.58300000000003</v>
      </c>
      <c r="D76" s="740">
        <f t="shared" si="23"/>
        <v>304.62400000000002</v>
      </c>
      <c r="E76" s="740">
        <f t="shared" si="24"/>
        <v>258.25800000000004</v>
      </c>
      <c r="F76" s="740">
        <f t="shared" si="25"/>
        <v>278.40100000000001</v>
      </c>
      <c r="G76" s="740">
        <f t="shared" si="26"/>
        <v>282.815</v>
      </c>
      <c r="H76" s="740">
        <f t="shared" si="27"/>
        <v>211.47899999999998</v>
      </c>
      <c r="I76" s="740">
        <f t="shared" si="28"/>
        <v>0</v>
      </c>
      <c r="J76" s="740">
        <f t="shared" si="29"/>
        <v>0</v>
      </c>
      <c r="K76" s="740">
        <f t="shared" si="30"/>
        <v>0</v>
      </c>
      <c r="L76" s="740">
        <f t="shared" si="31"/>
        <v>0</v>
      </c>
      <c r="M76" s="741">
        <f t="shared" si="32"/>
        <v>0</v>
      </c>
      <c r="N76" s="740"/>
    </row>
    <row r="77" spans="2:14" ht="15" customHeight="1" x14ac:dyDescent="0.2">
      <c r="B77" s="739" t="s">
        <v>293</v>
      </c>
      <c r="C77" s="740">
        <f t="shared" si="22"/>
        <v>274.88799999999998</v>
      </c>
      <c r="D77" s="740">
        <f t="shared" si="23"/>
        <v>206.20700000000002</v>
      </c>
      <c r="E77" s="740">
        <f t="shared" si="24"/>
        <v>229.96600000000001</v>
      </c>
      <c r="F77" s="740">
        <f t="shared" si="25"/>
        <v>323.50899999999996</v>
      </c>
      <c r="G77" s="740">
        <f t="shared" si="26"/>
        <v>233.29399999999998</v>
      </c>
      <c r="H77" s="740">
        <f t="shared" si="27"/>
        <v>215.06100000000001</v>
      </c>
      <c r="I77" s="740">
        <f t="shared" si="28"/>
        <v>0</v>
      </c>
      <c r="J77" s="740">
        <f t="shared" si="29"/>
        <v>0</v>
      </c>
      <c r="K77" s="740">
        <f t="shared" si="30"/>
        <v>0</v>
      </c>
      <c r="L77" s="740">
        <f t="shared" si="31"/>
        <v>0</v>
      </c>
      <c r="M77" s="741">
        <f t="shared" si="32"/>
        <v>0</v>
      </c>
      <c r="N77" s="740"/>
    </row>
    <row r="78" spans="2:14" ht="15" customHeight="1" x14ac:dyDescent="0.2">
      <c r="B78" s="739" t="s">
        <v>294</v>
      </c>
      <c r="C78" s="740">
        <f t="shared" si="22"/>
        <v>401.38900000000001</v>
      </c>
      <c r="D78" s="740">
        <f t="shared" si="23"/>
        <v>361.80200000000002</v>
      </c>
      <c r="E78" s="740">
        <f t="shared" si="24"/>
        <v>299.55099999999999</v>
      </c>
      <c r="F78" s="740">
        <f t="shared" si="25"/>
        <v>307.72800000000001</v>
      </c>
      <c r="G78" s="740">
        <f t="shared" si="26"/>
        <v>240.63800000000001</v>
      </c>
      <c r="H78" s="740">
        <f t="shared" si="27"/>
        <v>216.03199999999998</v>
      </c>
      <c r="I78" s="740">
        <f t="shared" si="28"/>
        <v>0</v>
      </c>
      <c r="J78" s="740">
        <f t="shared" si="29"/>
        <v>0</v>
      </c>
      <c r="K78" s="740">
        <f t="shared" si="30"/>
        <v>0</v>
      </c>
      <c r="L78" s="740">
        <f t="shared" si="31"/>
        <v>0</v>
      </c>
      <c r="M78" s="741">
        <f t="shared" si="32"/>
        <v>0</v>
      </c>
      <c r="N78" s="740"/>
    </row>
    <row r="79" spans="2:14" ht="15" customHeight="1" x14ac:dyDescent="0.2">
      <c r="B79" s="739" t="s">
        <v>295</v>
      </c>
      <c r="C79" s="740">
        <f t="shared" si="22"/>
        <v>587.85799999999995</v>
      </c>
      <c r="D79" s="740">
        <f t="shared" si="23"/>
        <v>549.98099999999999</v>
      </c>
      <c r="E79" s="740">
        <f t="shared" si="24"/>
        <v>516.08199999999999</v>
      </c>
      <c r="F79" s="740">
        <f t="shared" si="25"/>
        <v>430.43899999999996</v>
      </c>
      <c r="G79" s="740">
        <f t="shared" si="26"/>
        <v>575.42900000000009</v>
      </c>
      <c r="H79" s="740">
        <f t="shared" si="27"/>
        <v>353.23599999999999</v>
      </c>
      <c r="I79" s="740">
        <f t="shared" si="28"/>
        <v>0</v>
      </c>
      <c r="J79" s="740">
        <f t="shared" si="29"/>
        <v>0</v>
      </c>
      <c r="K79" s="740">
        <f t="shared" si="30"/>
        <v>0</v>
      </c>
      <c r="L79" s="740">
        <f t="shared" si="31"/>
        <v>0</v>
      </c>
      <c r="M79" s="741">
        <f t="shared" si="32"/>
        <v>0</v>
      </c>
      <c r="N79" s="740"/>
    </row>
    <row r="80" spans="2:14" ht="15" customHeight="1" thickBot="1" x14ac:dyDescent="0.25">
      <c r="B80" s="742" t="s">
        <v>296</v>
      </c>
      <c r="C80" s="743">
        <f t="shared" si="22"/>
        <v>373.69299999999998</v>
      </c>
      <c r="D80" s="743">
        <f t="shared" si="23"/>
        <v>426.67600000000004</v>
      </c>
      <c r="E80" s="743">
        <f t="shared" si="24"/>
        <v>413.84699999999998</v>
      </c>
      <c r="F80" s="743">
        <f t="shared" si="25"/>
        <v>428.40299999999996</v>
      </c>
      <c r="G80" s="743">
        <f t="shared" si="26"/>
        <v>330.084</v>
      </c>
      <c r="H80" s="743">
        <f t="shared" si="27"/>
        <v>295.88100000000003</v>
      </c>
      <c r="I80" s="743">
        <f t="shared" si="28"/>
        <v>0</v>
      </c>
      <c r="J80" s="743">
        <f t="shared" si="29"/>
        <v>0</v>
      </c>
      <c r="K80" s="743">
        <f t="shared" si="30"/>
        <v>0</v>
      </c>
      <c r="L80" s="743">
        <f t="shared" si="31"/>
        <v>0</v>
      </c>
      <c r="M80" s="744">
        <f t="shared" si="32"/>
        <v>0</v>
      </c>
      <c r="N80" s="740"/>
    </row>
  </sheetData>
  <mergeCells count="26">
    <mergeCell ref="Q23:R23"/>
    <mergeCell ref="S23:T23"/>
    <mergeCell ref="U23:V23"/>
    <mergeCell ref="B3:B5"/>
    <mergeCell ref="B23:B25"/>
    <mergeCell ref="C23:D23"/>
    <mergeCell ref="E23:F23"/>
    <mergeCell ref="G23:H23"/>
    <mergeCell ref="I23:J23"/>
    <mergeCell ref="U24:V24"/>
    <mergeCell ref="W24:X24"/>
    <mergeCell ref="B43:B45"/>
    <mergeCell ref="B63:B65"/>
    <mergeCell ref="W23:X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K23:L23"/>
    <mergeCell ref="M23:N23"/>
    <mergeCell ref="O23:P23"/>
  </mergeCells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theme="4" tint="0.59999389629810485"/>
  </sheetPr>
  <dimension ref="B3:F32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938</v>
      </c>
      <c r="C3" t="s">
        <v>431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14 data'!$Q$13</f>
        <v>12.141</v>
      </c>
      <c r="D8" s="829">
        <f>'Section 14 data'!$R$13</f>
        <v>0</v>
      </c>
      <c r="E8" s="834">
        <f>'Section 14 data'!$S$13</f>
        <v>0</v>
      </c>
      <c r="F8" s="822">
        <f>SUM(C8,D8)</f>
        <v>12.141</v>
      </c>
    </row>
    <row r="9" spans="2:6" ht="15" customHeight="1" x14ac:dyDescent="0.2">
      <c r="B9" s="82" t="s">
        <v>336</v>
      </c>
      <c r="C9" s="67">
        <f>'Section 14 data'!$Q$14</f>
        <v>231.268</v>
      </c>
      <c r="D9" s="829">
        <f>'Section 14 data'!$R$14</f>
        <v>7579.8090000000002</v>
      </c>
      <c r="E9" s="834">
        <f>'Section 14 data'!$S$14</f>
        <v>17.268599733140128</v>
      </c>
      <c r="F9" s="822">
        <f t="shared" ref="F9:F15" si="0">SUM(C9,D9)</f>
        <v>7811.0770000000002</v>
      </c>
    </row>
    <row r="10" spans="2:6" ht="15" customHeight="1" x14ac:dyDescent="0.2">
      <c r="B10" s="81" t="s">
        <v>337</v>
      </c>
      <c r="C10" s="67">
        <f>'Section 14 data'!$Q$15</f>
        <v>641.56399999999996</v>
      </c>
      <c r="D10" s="829">
        <f>'Section 14 data'!$R$15</f>
        <v>22981.14</v>
      </c>
      <c r="E10" s="834">
        <f>'Section 14 data'!$S$15</f>
        <v>15.139977281288864</v>
      </c>
      <c r="F10" s="822">
        <f t="shared" si="0"/>
        <v>23622.703999999998</v>
      </c>
    </row>
    <row r="11" spans="2:6" ht="15" customHeight="1" x14ac:dyDescent="0.2">
      <c r="B11" s="81" t="s">
        <v>338</v>
      </c>
      <c r="C11" s="67">
        <f>'Section 14 data'!$Q$16</f>
        <v>239.00200000000001</v>
      </c>
      <c r="D11" s="829">
        <f>'Section 14 data'!$R$16</f>
        <v>4243.62</v>
      </c>
      <c r="E11" s="834">
        <f>'Section 14 data'!$S$16</f>
        <v>15.096944514863649</v>
      </c>
      <c r="F11" s="822">
        <f t="shared" si="0"/>
        <v>4482.6220000000003</v>
      </c>
    </row>
    <row r="12" spans="2:6" ht="15" customHeight="1" x14ac:dyDescent="0.2">
      <c r="B12" s="81" t="s">
        <v>339</v>
      </c>
      <c r="C12" s="67">
        <f>'Section 14 data'!$Q$17</f>
        <v>111.93600000000001</v>
      </c>
      <c r="D12" s="829">
        <f>'Section 14 data'!$R$17</f>
        <v>3635.4459999999999</v>
      </c>
      <c r="E12" s="834">
        <f>'Section 14 data'!$S$17</f>
        <v>30.907034464068321</v>
      </c>
      <c r="F12" s="822">
        <f t="shared" si="0"/>
        <v>3747.3820000000001</v>
      </c>
    </row>
    <row r="13" spans="2:6" ht="15" customHeight="1" x14ac:dyDescent="0.2">
      <c r="B13" s="81" t="s">
        <v>340</v>
      </c>
      <c r="C13" s="67">
        <f>'Section 14 data'!$Q$18</f>
        <v>56.780999999999999</v>
      </c>
      <c r="D13" s="829">
        <f>'Section 14 data'!$R$18</f>
        <v>3953.9270000000001</v>
      </c>
      <c r="E13" s="834">
        <f>'Section 14 data'!$S$18</f>
        <v>41.001303742063747</v>
      </c>
      <c r="F13" s="822">
        <f t="shared" si="0"/>
        <v>4010.7080000000001</v>
      </c>
    </row>
    <row r="14" spans="2:6" ht="15" customHeight="1" x14ac:dyDescent="0.2">
      <c r="B14" s="81" t="s">
        <v>268</v>
      </c>
      <c r="C14" s="67">
        <f>'Section 14 data'!$Q$19</f>
        <v>50.233999999999995</v>
      </c>
      <c r="D14" s="829">
        <f>'Section 14 data'!$R$19</f>
        <v>2289.462</v>
      </c>
      <c r="E14" s="834">
        <f>'Section 14 data'!$S$19</f>
        <v>45.436676648173716</v>
      </c>
      <c r="F14" s="822">
        <f t="shared" si="0"/>
        <v>2339.6959999999999</v>
      </c>
    </row>
    <row r="15" spans="2:6" ht="15" customHeight="1" x14ac:dyDescent="0.2">
      <c r="B15" s="83" t="s">
        <v>80</v>
      </c>
      <c r="C15" s="830">
        <f>'Section 14 data'!$Q$8</f>
        <v>1347.2370000000001</v>
      </c>
      <c r="D15" s="830">
        <f>'Section 14 data'!$R$8</f>
        <v>44683.402999999998</v>
      </c>
      <c r="E15" s="835">
        <f>'Section 14 data'!$S$8</f>
        <v>10.125367505067075</v>
      </c>
      <c r="F15" s="831">
        <f t="shared" si="0"/>
        <v>46030.64</v>
      </c>
    </row>
    <row r="17" spans="4:4" ht="15" customHeight="1" x14ac:dyDescent="0.2">
      <c r="D17" s="563"/>
    </row>
    <row r="32" spans="4:4" ht="14.25" customHeight="1" x14ac:dyDescent="0.2"/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98BBA06-484A-4B4F-913F-14BD10DF7B38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A46B9A35-9DD1-489B-8312-31A017FFF280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theme="4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939</v>
      </c>
      <c r="C3" t="s">
        <v>430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70"/>
      <c r="F7" s="71"/>
    </row>
    <row r="8" spans="2:6" ht="15" customHeight="1" x14ac:dyDescent="0.2">
      <c r="B8" s="78" t="s">
        <v>341</v>
      </c>
      <c r="C8" s="823">
        <f>'Section 14 data'!$Q$24</f>
        <v>531.86300000000006</v>
      </c>
      <c r="D8" s="824">
        <f>'Section 14 data'!$R$24</f>
        <v>13362.86</v>
      </c>
      <c r="E8" s="205">
        <f>'Section 14 data'!$S$24</f>
        <v>11.172646611169833</v>
      </c>
      <c r="F8" s="825">
        <f>SUM(C8,D8)</f>
        <v>13894.723</v>
      </c>
    </row>
    <row r="9" spans="2:6" ht="15" customHeight="1" x14ac:dyDescent="0.2">
      <c r="B9" s="79" t="s">
        <v>342</v>
      </c>
      <c r="C9" s="823">
        <f>'Section 14 data'!$Q$25</f>
        <v>431.27199999999999</v>
      </c>
      <c r="D9" s="824">
        <f>'Section 14 data'!$R$25</f>
        <v>15763.936</v>
      </c>
      <c r="E9" s="205">
        <f>'Section 14 data'!$S$25</f>
        <v>10.582555893648788</v>
      </c>
      <c r="F9" s="825">
        <f t="shared" ref="F9:F17" si="0">SUM(C9,D9)</f>
        <v>16195.208000000001</v>
      </c>
    </row>
    <row r="10" spans="2:6" ht="15" customHeight="1" x14ac:dyDescent="0.2">
      <c r="B10" s="80" t="s">
        <v>343</v>
      </c>
      <c r="C10" s="823">
        <f>'Section 14 data'!$Q$26</f>
        <v>139.60499999999999</v>
      </c>
      <c r="D10" s="824">
        <f>'Section 14 data'!$R$26</f>
        <v>14528.135</v>
      </c>
      <c r="E10" s="205">
        <f>'Section 14 data'!$S$26</f>
        <v>9.416406278439414</v>
      </c>
      <c r="F10" s="825">
        <f t="shared" si="0"/>
        <v>14667.74</v>
      </c>
    </row>
    <row r="11" spans="2:6" ht="15" customHeight="1" x14ac:dyDescent="0.2">
      <c r="B11" s="78" t="s">
        <v>344</v>
      </c>
      <c r="C11" s="823">
        <f>'Section 14 data'!$Q$27</f>
        <v>71.747</v>
      </c>
      <c r="D11" s="824">
        <f>'Section 14 data'!$R$27</f>
        <v>8970.9940000000006</v>
      </c>
      <c r="E11" s="205">
        <f>'Section 14 data'!$S$27</f>
        <v>10.593353943681691</v>
      </c>
      <c r="F11" s="825">
        <f t="shared" si="0"/>
        <v>9042.741</v>
      </c>
    </row>
    <row r="12" spans="2:6" ht="15" customHeight="1" x14ac:dyDescent="0.2">
      <c r="B12" s="78" t="s">
        <v>345</v>
      </c>
      <c r="C12" s="823">
        <f>'Section 14 data'!$Q$28</f>
        <v>118.127</v>
      </c>
      <c r="D12" s="824">
        <f>'Section 14 data'!$R$28</f>
        <v>13944.032999999999</v>
      </c>
      <c r="E12" s="205">
        <f>'Section 14 data'!$S$28</f>
        <v>7.8343038565651151</v>
      </c>
      <c r="F12" s="825">
        <f t="shared" si="0"/>
        <v>14062.16</v>
      </c>
    </row>
    <row r="13" spans="2:6" ht="15" customHeight="1" x14ac:dyDescent="0.2">
      <c r="B13" s="78" t="s">
        <v>346</v>
      </c>
      <c r="C13" s="823">
        <f>'Section 14 data'!$Q$29</f>
        <v>39.709000000000003</v>
      </c>
      <c r="D13" s="824">
        <f>'Section 14 data'!$R$29</f>
        <v>6532.4579999999996</v>
      </c>
      <c r="E13" s="205">
        <f>'Section 14 data'!$S$29</f>
        <v>9.8764344723380493</v>
      </c>
      <c r="F13" s="825">
        <f t="shared" si="0"/>
        <v>6572.1669999999995</v>
      </c>
    </row>
    <row r="14" spans="2:6" ht="15" customHeight="1" x14ac:dyDescent="0.2">
      <c r="B14" s="78" t="s">
        <v>347</v>
      </c>
      <c r="C14" s="823">
        <f>'Section 14 data'!$Q$30</f>
        <v>13.706</v>
      </c>
      <c r="D14" s="824">
        <f>'Section 14 data'!$R$30</f>
        <v>8023.6409999999996</v>
      </c>
      <c r="E14" s="205">
        <f>'Section 14 data'!$S$30</f>
        <v>6.245231578736635</v>
      </c>
      <c r="F14" s="825">
        <f t="shared" si="0"/>
        <v>8037.3469999999998</v>
      </c>
    </row>
    <row r="15" spans="2:6" ht="15" customHeight="1" x14ac:dyDescent="0.2">
      <c r="B15" s="78" t="s">
        <v>348</v>
      </c>
      <c r="C15" s="823">
        <f>'Section 14 data'!$Q$31</f>
        <v>1.0980000000000001</v>
      </c>
      <c r="D15" s="824">
        <f>'Section 14 data'!$R$31</f>
        <v>2535.4760000000001</v>
      </c>
      <c r="E15" s="205">
        <f>'Section 14 data'!$S$31</f>
        <v>9.8230476174374708</v>
      </c>
      <c r="F15" s="825">
        <f t="shared" si="0"/>
        <v>2536.5740000000001</v>
      </c>
    </row>
    <row r="16" spans="2:6" ht="15" customHeight="1" x14ac:dyDescent="0.2">
      <c r="B16" s="78" t="s">
        <v>270</v>
      </c>
      <c r="C16" s="823">
        <f>'Section 14 data'!$Q$32</f>
        <v>0.109</v>
      </c>
      <c r="D16" s="824">
        <f>'Section 14 data'!$R$32</f>
        <v>915.86300000000006</v>
      </c>
      <c r="E16" s="205">
        <f>'Section 14 data'!$S$32</f>
        <v>16.383876749514595</v>
      </c>
      <c r="F16" s="825">
        <f t="shared" si="0"/>
        <v>915.97200000000009</v>
      </c>
    </row>
    <row r="17" spans="2:6" ht="15" customHeight="1" x14ac:dyDescent="0.2">
      <c r="B17" s="72" t="s">
        <v>80</v>
      </c>
      <c r="C17" s="87">
        <f>'Section 14 data'!$Q$8</f>
        <v>1347.2370000000001</v>
      </c>
      <c r="D17" s="87">
        <f>'Section 14 data'!$R$8</f>
        <v>44683.402999999998</v>
      </c>
      <c r="E17" s="321">
        <f>'Section 14 data'!$S$8</f>
        <v>10.125367505067075</v>
      </c>
      <c r="F17" s="87">
        <f t="shared" si="0"/>
        <v>46030.64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4F850FB-6899-4FD5-AF82-7CAB42C2D75C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DB924B1E-832E-4790-9621-23BC0089FF9D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941</v>
      </c>
      <c r="C3" t="s">
        <v>940</v>
      </c>
    </row>
    <row r="5" spans="2:12" ht="15" customHeight="1" x14ac:dyDescent="0.2">
      <c r="B5" s="1070" t="s">
        <v>738</v>
      </c>
      <c r="C5" s="1141" t="s">
        <v>390</v>
      </c>
      <c r="D5" s="1141"/>
      <c r="E5" s="1141"/>
      <c r="F5" s="1133"/>
      <c r="H5" s="1070" t="s">
        <v>738</v>
      </c>
      <c r="I5" s="1021" t="s">
        <v>274</v>
      </c>
      <c r="J5" s="1089"/>
      <c r="K5" s="1089"/>
      <c r="L5" s="1018"/>
    </row>
    <row r="6" spans="2:12" ht="60" customHeight="1" x14ac:dyDescent="0.2">
      <c r="B6" s="1153"/>
      <c r="C6" s="644" t="s">
        <v>78</v>
      </c>
      <c r="D6" s="1154" t="s">
        <v>79</v>
      </c>
      <c r="E6" s="1154"/>
      <c r="F6" s="643" t="s">
        <v>275</v>
      </c>
      <c r="H6" s="1153"/>
      <c r="I6" s="642" t="s">
        <v>276</v>
      </c>
      <c r="J6" s="641" t="s">
        <v>277</v>
      </c>
      <c r="K6" s="641" t="s">
        <v>391</v>
      </c>
      <c r="L6" s="640" t="s">
        <v>392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598" t="s">
        <v>81</v>
      </c>
      <c r="J7" s="597" t="s">
        <v>81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39">
        <f>'Section 14 data country'!$C$62</f>
        <v>0.83292999999999995</v>
      </c>
      <c r="D8" s="639">
        <f>'Section 14 data country'!$D$62</f>
        <v>29.271480000000004</v>
      </c>
      <c r="E8" s="638">
        <f>'Section 14 data country'!$E$62</f>
        <v>7.1523689695188057</v>
      </c>
      <c r="F8" s="637">
        <f>SUM(C8,D8)</f>
        <v>30.104410000000005</v>
      </c>
      <c r="G8" s="25"/>
      <c r="H8" s="636" t="s">
        <v>721</v>
      </c>
      <c r="I8" s="53">
        <f>'Section 14 data country'!$G$43</f>
        <v>892.49155999999994</v>
      </c>
      <c r="J8" s="54">
        <f>'Section 14 data country'!$G$5</f>
        <v>1197.5455499999998</v>
      </c>
      <c r="K8" s="55">
        <f>IF(I8=0,0,100*F8/I8)</f>
        <v>3.373075035017699</v>
      </c>
      <c r="L8" s="56">
        <f>IF(J8=0,0,100*F8/J8)</f>
        <v>2.5138425841088057</v>
      </c>
    </row>
    <row r="9" spans="2:12" ht="15" customHeight="1" x14ac:dyDescent="0.2">
      <c r="B9" s="632" t="s">
        <v>286</v>
      </c>
      <c r="C9" s="635">
        <f>'Section 14 data country'!$C$63</f>
        <v>0</v>
      </c>
      <c r="D9" s="635">
        <f>'Section 14 data country'!$D$63</f>
        <v>5.9000000000000007E-3</v>
      </c>
      <c r="E9" s="634">
        <f>'Section 14 data country'!$E$63</f>
        <v>89.15</v>
      </c>
      <c r="F9" s="633">
        <f t="shared" ref="F9:F22" si="0">SUM(C9,D9)</f>
        <v>5.9000000000000007E-3</v>
      </c>
      <c r="G9" s="25"/>
      <c r="H9" s="632" t="s">
        <v>286</v>
      </c>
      <c r="I9" s="631">
        <f>'Section 14 data country'!$G$44</f>
        <v>44.848480000000002</v>
      </c>
      <c r="J9" s="630">
        <f>'Section 14 data country'!$G$6</f>
        <v>76.154820000000001</v>
      </c>
      <c r="K9" s="629">
        <f t="shared" ref="K9:K22" si="1">IF(I9=0,0,100*F9/I9)</f>
        <v>1.315540682761155E-2</v>
      </c>
      <c r="L9" s="628">
        <f t="shared" ref="L9:L22" si="2">IF(J9=0,0,100*F9/J9)</f>
        <v>7.7473756749736923E-3</v>
      </c>
    </row>
    <row r="10" spans="2:12" ht="15" customHeight="1" x14ac:dyDescent="0.2">
      <c r="B10" s="632" t="s">
        <v>298</v>
      </c>
      <c r="C10" s="635">
        <f>'Section 14 data country'!$C$64</f>
        <v>2.307E-2</v>
      </c>
      <c r="D10" s="635">
        <f>'Section 14 data country'!$D$64</f>
        <v>2.6283600000000003</v>
      </c>
      <c r="E10" s="634">
        <f>'Section 14 data country'!$E$64</f>
        <v>21.19</v>
      </c>
      <c r="F10" s="633">
        <f t="shared" si="0"/>
        <v>2.6514300000000004</v>
      </c>
      <c r="G10" s="25"/>
      <c r="H10" s="632" t="s">
        <v>298</v>
      </c>
      <c r="I10" s="631">
        <f>'Section 14 data country'!$G$45</f>
        <v>81.728650000000002</v>
      </c>
      <c r="J10" s="630">
        <f>'Section 14 data country'!$G$7</f>
        <v>106.67646000000002</v>
      </c>
      <c r="K10" s="629">
        <f t="shared" si="1"/>
        <v>3.2441867080882898</v>
      </c>
      <c r="L10" s="628">
        <f t="shared" si="2"/>
        <v>2.4854874261856832</v>
      </c>
    </row>
    <row r="11" spans="2:12" ht="15" customHeight="1" x14ac:dyDescent="0.2">
      <c r="B11" s="632" t="s">
        <v>287</v>
      </c>
      <c r="C11" s="635">
        <f>'Section 14 data country'!$C$65</f>
        <v>8.1759999999999999E-2</v>
      </c>
      <c r="D11" s="635">
        <f>'Section 14 data country'!$D$65</f>
        <v>3.7967199999999997</v>
      </c>
      <c r="E11" s="634">
        <f>'Section 14 data country'!$E$65</f>
        <v>21.15</v>
      </c>
      <c r="F11" s="633">
        <f t="shared" si="0"/>
        <v>3.8784799999999997</v>
      </c>
      <c r="G11" s="25"/>
      <c r="H11" s="632" t="s">
        <v>287</v>
      </c>
      <c r="I11" s="631">
        <f>'Section 14 data country'!$G$46</f>
        <v>90.858959999999996</v>
      </c>
      <c r="J11" s="630">
        <f>'Section 14 data country'!$G$8</f>
        <v>124.23294000000001</v>
      </c>
      <c r="K11" s="629">
        <f t="shared" si="1"/>
        <v>4.2686819219590451</v>
      </c>
      <c r="L11" s="628">
        <f t="shared" si="2"/>
        <v>3.1219417330057544</v>
      </c>
    </row>
    <row r="12" spans="2:12" ht="15" customHeight="1" x14ac:dyDescent="0.2">
      <c r="B12" s="632" t="s">
        <v>288</v>
      </c>
      <c r="C12" s="635">
        <f>'Section 14 data country'!$C$66</f>
        <v>5.7709999999999997E-2</v>
      </c>
      <c r="D12" s="635">
        <f>'Section 14 data country'!$D$66</f>
        <v>0.96234000000000008</v>
      </c>
      <c r="E12" s="634">
        <f>'Section 14 data country'!$E$66</f>
        <v>37.159999999999997</v>
      </c>
      <c r="F12" s="633">
        <f t="shared" si="0"/>
        <v>1.0200500000000001</v>
      </c>
      <c r="G12" s="25"/>
      <c r="H12" s="632" t="s">
        <v>288</v>
      </c>
      <c r="I12" s="631">
        <f>'Section 14 data country'!$G$47</f>
        <v>39.05968</v>
      </c>
      <c r="J12" s="630">
        <f>'Section 14 data country'!$G$9</f>
        <v>51.166460000000001</v>
      </c>
      <c r="K12" s="629">
        <f t="shared" si="1"/>
        <v>2.6115165306013775</v>
      </c>
      <c r="L12" s="628">
        <f t="shared" si="2"/>
        <v>1.9935911141790932</v>
      </c>
    </row>
    <row r="13" spans="2:12" ht="15" customHeight="1" x14ac:dyDescent="0.2">
      <c r="B13" s="632" t="s">
        <v>301</v>
      </c>
      <c r="C13" s="635">
        <f>'Section 14 data country'!$C$67</f>
        <v>1.12E-2</v>
      </c>
      <c r="D13" s="635">
        <f>'Section 14 data country'!$D$67</f>
        <v>8.3860000000000004E-2</v>
      </c>
      <c r="E13" s="634">
        <f>'Section 14 data country'!$E$67</f>
        <v>75.17</v>
      </c>
      <c r="F13" s="633">
        <f t="shared" si="0"/>
        <v>9.5060000000000006E-2</v>
      </c>
      <c r="G13" s="25"/>
      <c r="H13" s="632" t="s">
        <v>301</v>
      </c>
      <c r="I13" s="631">
        <f>'Section 14 data country'!$G$48</f>
        <v>24.24953</v>
      </c>
      <c r="J13" s="630">
        <f>'Section 14 data country'!$G$10</f>
        <v>26.89772</v>
      </c>
      <c r="K13" s="629">
        <f t="shared" si="1"/>
        <v>0.39200759767302706</v>
      </c>
      <c r="L13" s="628">
        <f t="shared" si="2"/>
        <v>0.35341285432371222</v>
      </c>
    </row>
    <row r="14" spans="2:12" ht="15" customHeight="1" x14ac:dyDescent="0.2">
      <c r="B14" s="632" t="s">
        <v>302</v>
      </c>
      <c r="C14" s="635">
        <f>'Section 14 data country'!$C$68</f>
        <v>2.7E-4</v>
      </c>
      <c r="D14" s="635">
        <f>'Section 14 data country'!$D$68</f>
        <v>0.17274999999999999</v>
      </c>
      <c r="E14" s="634">
        <f>'Section 14 data country'!$E$68</f>
        <v>74.73</v>
      </c>
      <c r="F14" s="633">
        <f t="shared" si="0"/>
        <v>0.17301999999999998</v>
      </c>
      <c r="G14" s="25"/>
      <c r="H14" s="632" t="s">
        <v>302</v>
      </c>
      <c r="I14" s="631">
        <f>'Section 14 data country'!$G$49</f>
        <v>30.066469999999999</v>
      </c>
      <c r="J14" s="630">
        <f>'Section 14 data country'!$G$11</f>
        <v>33.185850000000002</v>
      </c>
      <c r="K14" s="629">
        <f t="shared" si="1"/>
        <v>0.57545830953883181</v>
      </c>
      <c r="L14" s="628">
        <f t="shared" si="2"/>
        <v>0.5213667873506328</v>
      </c>
    </row>
    <row r="15" spans="2:12" ht="15" customHeight="1" x14ac:dyDescent="0.2">
      <c r="B15" s="632" t="s">
        <v>303</v>
      </c>
      <c r="C15" s="635">
        <f>'Section 14 data country'!$C$69</f>
        <v>8.2849999999999993E-2</v>
      </c>
      <c r="D15" s="635">
        <f>'Section 14 data country'!$D$69</f>
        <v>12.42032</v>
      </c>
      <c r="E15" s="634">
        <f>'Section 14 data country'!$E$69</f>
        <v>12.35</v>
      </c>
      <c r="F15" s="633">
        <f t="shared" si="0"/>
        <v>12.503170000000001</v>
      </c>
      <c r="G15" s="25"/>
      <c r="H15" s="632" t="s">
        <v>303</v>
      </c>
      <c r="I15" s="631">
        <f>'Section 14 data country'!$G$50</f>
        <v>86.336109999999991</v>
      </c>
      <c r="J15" s="630">
        <f>'Section 14 data country'!$G$12</f>
        <v>96.604010000000002</v>
      </c>
      <c r="K15" s="629">
        <f t="shared" si="1"/>
        <v>14.48197052195194</v>
      </c>
      <c r="L15" s="628">
        <f t="shared" si="2"/>
        <v>12.942702896080608</v>
      </c>
    </row>
    <row r="16" spans="2:12" ht="15" customHeight="1" x14ac:dyDescent="0.2">
      <c r="B16" s="632" t="s">
        <v>304</v>
      </c>
      <c r="C16" s="635">
        <f>'Section 14 data country'!$C$70</f>
        <v>7.2899999999999996E-3</v>
      </c>
      <c r="D16" s="635">
        <f>'Section 14 data country'!$D$70</f>
        <v>9.214E-2</v>
      </c>
      <c r="E16" s="634">
        <f>'Section 14 data country'!$E$70</f>
        <v>51.11</v>
      </c>
      <c r="F16" s="633">
        <f t="shared" si="0"/>
        <v>9.9430000000000004E-2</v>
      </c>
      <c r="G16" s="25"/>
      <c r="H16" s="632" t="s">
        <v>304</v>
      </c>
      <c r="I16" s="631">
        <f>'Section 14 data country'!$G$51</f>
        <v>38.75761</v>
      </c>
      <c r="J16" s="630">
        <f>'Section 14 data country'!$G$13</f>
        <v>46.924610000000001</v>
      </c>
      <c r="K16" s="629">
        <f t="shared" si="1"/>
        <v>0.25654316661940713</v>
      </c>
      <c r="L16" s="628">
        <f t="shared" si="2"/>
        <v>0.21189307700159893</v>
      </c>
    </row>
    <row r="17" spans="2:12" ht="15" customHeight="1" x14ac:dyDescent="0.2">
      <c r="B17" s="632" t="s">
        <v>291</v>
      </c>
      <c r="C17" s="635">
        <f>'Section 14 data country'!$C$71</f>
        <v>0</v>
      </c>
      <c r="D17" s="635">
        <f>'Section 14 data country'!$D$71</f>
        <v>0</v>
      </c>
      <c r="E17" s="634">
        <f>'Section 14 data country'!$E$71</f>
        <v>0</v>
      </c>
      <c r="F17" s="633">
        <f t="shared" si="0"/>
        <v>0</v>
      </c>
      <c r="G17" s="25"/>
      <c r="H17" s="632" t="s">
        <v>291</v>
      </c>
      <c r="I17" s="631">
        <f>'Section 14 data country'!$G$52</f>
        <v>38.881959999999999</v>
      </c>
      <c r="J17" s="630">
        <f>'Section 14 data country'!$G$14</f>
        <v>100.34380999999999</v>
      </c>
      <c r="K17" s="629">
        <f t="shared" si="1"/>
        <v>0</v>
      </c>
      <c r="L17" s="628">
        <f t="shared" si="2"/>
        <v>0</v>
      </c>
    </row>
    <row r="18" spans="2:12" ht="15" customHeight="1" x14ac:dyDescent="0.2">
      <c r="B18" s="632" t="s">
        <v>292</v>
      </c>
      <c r="C18" s="635">
        <f>'Section 14 data country'!$C$72</f>
        <v>0.14022000000000001</v>
      </c>
      <c r="D18" s="635">
        <f>'Section 14 data country'!$D$72</f>
        <v>3.75271</v>
      </c>
      <c r="E18" s="634">
        <f>'Section 14 data country'!$E$72</f>
        <v>16.52</v>
      </c>
      <c r="F18" s="633">
        <f t="shared" si="0"/>
        <v>3.8929299999999998</v>
      </c>
      <c r="G18" s="25"/>
      <c r="H18" s="632" t="s">
        <v>292</v>
      </c>
      <c r="I18" s="631">
        <f>'Section 14 data country'!$G$53</f>
        <v>93.393150000000006</v>
      </c>
      <c r="J18" s="630">
        <f>'Section 14 data country'!$G$15</f>
        <v>114.28462999999999</v>
      </c>
      <c r="K18" s="629">
        <f t="shared" si="1"/>
        <v>4.1683249788662229</v>
      </c>
      <c r="L18" s="628">
        <f t="shared" si="2"/>
        <v>3.4063460677083177</v>
      </c>
    </row>
    <row r="19" spans="2:12" ht="15" customHeight="1" x14ac:dyDescent="0.2">
      <c r="B19" s="632" t="s">
        <v>293</v>
      </c>
      <c r="C19" s="635">
        <f>'Section 14 data country'!$C$73</f>
        <v>2.027E-2</v>
      </c>
      <c r="D19" s="635">
        <f>'Section 14 data country'!$D$73</f>
        <v>1.6646300000000001</v>
      </c>
      <c r="E19" s="634">
        <f>'Section 14 data country'!$E$73</f>
        <v>20.440000000000001</v>
      </c>
      <c r="F19" s="633">
        <f t="shared" si="0"/>
        <v>1.6849000000000001</v>
      </c>
      <c r="G19" s="25"/>
      <c r="H19" s="632" t="s">
        <v>293</v>
      </c>
      <c r="I19" s="631">
        <f>'Section 14 data country'!$G$54</f>
        <v>73.585939999999994</v>
      </c>
      <c r="J19" s="630">
        <f>'Section 14 data country'!$G$16</f>
        <v>88.609620000000007</v>
      </c>
      <c r="K19" s="629">
        <f t="shared" si="1"/>
        <v>2.2897037124211503</v>
      </c>
      <c r="L19" s="628">
        <f t="shared" si="2"/>
        <v>1.901486542883267</v>
      </c>
    </row>
    <row r="20" spans="2:12" ht="15" customHeight="1" x14ac:dyDescent="0.2">
      <c r="B20" s="632" t="s">
        <v>294</v>
      </c>
      <c r="C20" s="635">
        <f>'Section 14 data country'!$C$74</f>
        <v>0.04</v>
      </c>
      <c r="D20" s="635">
        <f>'Section 14 data country'!$D$74</f>
        <v>1.04</v>
      </c>
      <c r="E20" s="634">
        <f>'Section 14 data country'!$E$74</f>
        <v>31.85</v>
      </c>
      <c r="F20" s="633">
        <f t="shared" si="0"/>
        <v>1.08</v>
      </c>
      <c r="G20" s="25"/>
      <c r="H20" s="632" t="s">
        <v>294</v>
      </c>
      <c r="I20" s="631">
        <f>'Section 14 data country'!$G$55</f>
        <v>80.404610000000005</v>
      </c>
      <c r="J20" s="630">
        <f>'Section 14 data country'!$G$17</f>
        <v>100.84719</v>
      </c>
      <c r="K20" s="629">
        <f t="shared" si="1"/>
        <v>1.3432065648972116</v>
      </c>
      <c r="L20" s="628">
        <f t="shared" si="2"/>
        <v>1.070927211754735</v>
      </c>
    </row>
    <row r="21" spans="2:12" ht="15" customHeight="1" x14ac:dyDescent="0.2">
      <c r="B21" s="632" t="s">
        <v>295</v>
      </c>
      <c r="C21" s="635">
        <f>'Section 14 data country'!$C$75</f>
        <v>0.36</v>
      </c>
      <c r="D21" s="635">
        <f>'Section 14 data country'!$D$75</f>
        <v>2.36</v>
      </c>
      <c r="E21" s="634">
        <f>'Section 14 data country'!$E$75</f>
        <v>29.29</v>
      </c>
      <c r="F21" s="633">
        <f t="shared" si="0"/>
        <v>2.7199999999999998</v>
      </c>
      <c r="G21" s="25"/>
      <c r="H21" s="632" t="s">
        <v>295</v>
      </c>
      <c r="I21" s="631">
        <f>'Section 14 data country'!$G$56</f>
        <v>100.96449</v>
      </c>
      <c r="J21" s="630">
        <f>'Section 14 data country'!$G$18</f>
        <v>130.76726000000002</v>
      </c>
      <c r="K21" s="629">
        <f t="shared" si="1"/>
        <v>2.6940164804477296</v>
      </c>
      <c r="L21" s="628">
        <f t="shared" si="2"/>
        <v>2.0800313472959511</v>
      </c>
    </row>
    <row r="22" spans="2:12" ht="15" customHeight="1" x14ac:dyDescent="0.2">
      <c r="B22" s="624" t="s">
        <v>296</v>
      </c>
      <c r="C22" s="627">
        <f>'Section 14 data country'!$C$76</f>
        <v>8.8000000000000005E-3</v>
      </c>
      <c r="D22" s="627">
        <f>'Section 14 data country'!$D$76</f>
        <v>0.29508000000000001</v>
      </c>
      <c r="E22" s="626">
        <f>'Section 14 data country'!$E$76</f>
        <v>39.36</v>
      </c>
      <c r="F22" s="625">
        <f t="shared" si="0"/>
        <v>0.30387999999999998</v>
      </c>
      <c r="G22" s="25"/>
      <c r="H22" s="624" t="s">
        <v>296</v>
      </c>
      <c r="I22" s="623">
        <f>'Section 14 data country'!$G$57</f>
        <v>69.355919999999998</v>
      </c>
      <c r="J22" s="622">
        <f>'Section 14 data country'!$G$19</f>
        <v>100.85017000000001</v>
      </c>
      <c r="K22" s="621">
        <f t="shared" si="1"/>
        <v>0.43814572714196565</v>
      </c>
      <c r="L22" s="620">
        <f t="shared" si="2"/>
        <v>0.30131828235886954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3B21B7C-CC79-4514-A9FF-E6C1B5139981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35DE93A0-57D7-4891-95E9-123C0EBCF205}">
            <xm:f>Sheet1!$D$5</xm:f>
            <xm:f>Sheet1!$E$5</xm:f>
            <x14:dxf>
              <numFmt numFmtId="174" formatCode="&quot;&lt; 0.1&quot;"/>
            </x14:dxf>
          </x14:cfRule>
          <xm:sqref>C8:D22 F8:F22 I8:J22</xm:sqref>
        </x14:conditionalFormatting>
      </x14:conditionalFormattings>
    </ext>
  </extLst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943</v>
      </c>
      <c r="C3" t="s">
        <v>942</v>
      </c>
    </row>
    <row r="5" spans="2:12" ht="15" customHeight="1" x14ac:dyDescent="0.2">
      <c r="B5" s="1070" t="s">
        <v>738</v>
      </c>
      <c r="C5" s="1141" t="s">
        <v>393</v>
      </c>
      <c r="D5" s="1141"/>
      <c r="E5" s="1141"/>
      <c r="F5" s="1133"/>
      <c r="G5" s="25"/>
      <c r="H5" s="1070" t="s">
        <v>738</v>
      </c>
      <c r="I5" s="1021" t="s">
        <v>282</v>
      </c>
      <c r="J5" s="1089"/>
      <c r="K5" s="1089"/>
      <c r="L5" s="1018"/>
    </row>
    <row r="6" spans="2:12" ht="60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391</v>
      </c>
      <c r="L6" s="640" t="s">
        <v>392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598" t="s">
        <v>326</v>
      </c>
      <c r="J7" s="597" t="s">
        <v>326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14 data country'!$J$62</f>
        <v>126.63800000000001</v>
      </c>
      <c r="D8" s="652">
        <f>'Section 14 data country'!$K$62</f>
        <v>16253.43</v>
      </c>
      <c r="E8" s="638">
        <f>'Section 14 data country'!$L$62</f>
        <v>8.6048188787624422</v>
      </c>
      <c r="F8" s="651">
        <f>SUM(C8,D8)</f>
        <v>16380.068000000001</v>
      </c>
      <c r="G8" s="25"/>
      <c r="H8" s="636" t="s">
        <v>721</v>
      </c>
      <c r="I8" s="65">
        <f>'Section 14 data country'!$N$43</f>
        <v>177942.09700000001</v>
      </c>
      <c r="J8" s="66">
        <f>'Section 14 data country'!$N$5</f>
        <v>267859.15499999997</v>
      </c>
      <c r="K8" s="55">
        <f>IF(I8=0,0,100*F8/I8)</f>
        <v>9.2052798501076438</v>
      </c>
      <c r="L8" s="56">
        <f>IF(J8=0,0,100*F8/J8)</f>
        <v>6.1151794494386431</v>
      </c>
    </row>
    <row r="9" spans="2:12" ht="15" customHeight="1" x14ac:dyDescent="0.2">
      <c r="B9" s="632" t="s">
        <v>286</v>
      </c>
      <c r="C9" s="650">
        <f>'Section 14 data country'!$J$63</f>
        <v>0</v>
      </c>
      <c r="D9" s="650">
        <f>'Section 14 data country'!$K$63</f>
        <v>1168.6690000000001</v>
      </c>
      <c r="E9" s="634">
        <f>'Section 14 data country'!$L$63</f>
        <v>89.15</v>
      </c>
      <c r="F9" s="649">
        <f t="shared" ref="F9:F22" si="0">SUM(C9,D9)</f>
        <v>1168.6690000000001</v>
      </c>
      <c r="G9" s="25"/>
      <c r="H9" s="632" t="s">
        <v>286</v>
      </c>
      <c r="I9" s="648">
        <f>'Section 14 data country'!$N$44</f>
        <v>7725.7210000000005</v>
      </c>
      <c r="J9" s="629">
        <f>'Section 14 data country'!$N$6</f>
        <v>16572.267</v>
      </c>
      <c r="K9" s="629">
        <f t="shared" ref="K9:K22" si="1">IF(I9=0,0,100*F9/I9)</f>
        <v>15.126989442150448</v>
      </c>
      <c r="L9" s="628">
        <f t="shared" ref="L9:L22" si="2">IF(J9=0,0,100*F9/J9)</f>
        <v>7.0519561385295093</v>
      </c>
    </row>
    <row r="10" spans="2:12" ht="15" customHeight="1" x14ac:dyDescent="0.2">
      <c r="B10" s="632" t="s">
        <v>298</v>
      </c>
      <c r="C10" s="650">
        <f>'Section 14 data country'!$J$64</f>
        <v>4.4180000000000001</v>
      </c>
      <c r="D10" s="650">
        <f>'Section 14 data country'!$K$64</f>
        <v>1518.5509999999999</v>
      </c>
      <c r="E10" s="634">
        <f>'Section 14 data country'!$L$64</f>
        <v>25.64</v>
      </c>
      <c r="F10" s="649">
        <f t="shared" si="0"/>
        <v>1522.9689999999998</v>
      </c>
      <c r="G10" s="25"/>
      <c r="H10" s="632" t="s">
        <v>298</v>
      </c>
      <c r="I10" s="648">
        <f>'Section 14 data country'!$N$45</f>
        <v>17451.120000000003</v>
      </c>
      <c r="J10" s="629">
        <f>'Section 14 data country'!$N$7</f>
        <v>25733.827999999998</v>
      </c>
      <c r="K10" s="629">
        <f t="shared" si="1"/>
        <v>8.7270559138897656</v>
      </c>
      <c r="L10" s="628">
        <f t="shared" si="2"/>
        <v>5.9181595524769968</v>
      </c>
    </row>
    <row r="11" spans="2:12" ht="15" customHeight="1" x14ac:dyDescent="0.2">
      <c r="B11" s="632" t="s">
        <v>287</v>
      </c>
      <c r="C11" s="650">
        <f>'Section 14 data country'!$J$65</f>
        <v>12.688000000000001</v>
      </c>
      <c r="D11" s="650">
        <f>'Section 14 data country'!$K$65</f>
        <v>1613.48</v>
      </c>
      <c r="E11" s="634">
        <f>'Section 14 data country'!$L$65</f>
        <v>28.65</v>
      </c>
      <c r="F11" s="649">
        <f t="shared" si="0"/>
        <v>1626.1680000000001</v>
      </c>
      <c r="G11" s="25"/>
      <c r="H11" s="632" t="s">
        <v>287</v>
      </c>
      <c r="I11" s="648">
        <f>'Section 14 data country'!$N$46</f>
        <v>16181.21</v>
      </c>
      <c r="J11" s="629">
        <f>'Section 14 data country'!$N$8</f>
        <v>23650.592000000001</v>
      </c>
      <c r="K11" s="629">
        <f t="shared" si="1"/>
        <v>10.049730520770698</v>
      </c>
      <c r="L11" s="628">
        <f t="shared" si="2"/>
        <v>6.8758025169095136</v>
      </c>
    </row>
    <row r="12" spans="2:12" ht="15" customHeight="1" x14ac:dyDescent="0.2">
      <c r="B12" s="632" t="s">
        <v>288</v>
      </c>
      <c r="C12" s="650">
        <f>'Section 14 data country'!$J$66</f>
        <v>9.7309999999999999</v>
      </c>
      <c r="D12" s="650">
        <f>'Section 14 data country'!$K$66</f>
        <v>908.46699999999998</v>
      </c>
      <c r="E12" s="634">
        <f>'Section 14 data country'!$L$66</f>
        <v>42.27</v>
      </c>
      <c r="F12" s="649">
        <f t="shared" si="0"/>
        <v>918.19799999999998</v>
      </c>
      <c r="G12" s="25"/>
      <c r="H12" s="632" t="s">
        <v>288</v>
      </c>
      <c r="I12" s="648">
        <f>'Section 14 data country'!$N$47</f>
        <v>6148.63</v>
      </c>
      <c r="J12" s="629">
        <f>'Section 14 data country'!$N$9</f>
        <v>9648.25</v>
      </c>
      <c r="K12" s="629">
        <f t="shared" si="1"/>
        <v>14.933375402325396</v>
      </c>
      <c r="L12" s="628">
        <f t="shared" si="2"/>
        <v>9.5167310133962122</v>
      </c>
    </row>
    <row r="13" spans="2:12" ht="15" customHeight="1" x14ac:dyDescent="0.2">
      <c r="B13" s="632" t="s">
        <v>301</v>
      </c>
      <c r="C13" s="650">
        <f>'Section 14 data country'!$J$67</f>
        <v>5.2329999999999997</v>
      </c>
      <c r="D13" s="650">
        <f>'Section 14 data country'!$K$67</f>
        <v>1317.2570000000001</v>
      </c>
      <c r="E13" s="634">
        <f>'Section 14 data country'!$L$67</f>
        <v>92.48</v>
      </c>
      <c r="F13" s="649">
        <f t="shared" si="0"/>
        <v>1322.49</v>
      </c>
      <c r="G13" s="25"/>
      <c r="H13" s="632" t="s">
        <v>301</v>
      </c>
      <c r="I13" s="648">
        <f>'Section 14 data country'!$N$48</f>
        <v>4046.2580000000003</v>
      </c>
      <c r="J13" s="629">
        <f>'Section 14 data country'!$N$10</f>
        <v>4775.491</v>
      </c>
      <c r="K13" s="629">
        <f t="shared" si="1"/>
        <v>32.684272728036618</v>
      </c>
      <c r="L13" s="628">
        <f t="shared" si="2"/>
        <v>27.693278031515504</v>
      </c>
    </row>
    <row r="14" spans="2:12" ht="15" customHeight="1" x14ac:dyDescent="0.2">
      <c r="B14" s="632" t="s">
        <v>302</v>
      </c>
      <c r="C14" s="650">
        <f>'Section 14 data country'!$J$68</f>
        <v>8.5999999999999993E-2</v>
      </c>
      <c r="D14" s="650">
        <f>'Section 14 data country'!$K$68</f>
        <v>528.67999999999995</v>
      </c>
      <c r="E14" s="634">
        <f>'Section 14 data country'!$L$68</f>
        <v>82.93</v>
      </c>
      <c r="F14" s="649">
        <f t="shared" si="0"/>
        <v>528.76599999999996</v>
      </c>
      <c r="G14" s="25"/>
      <c r="H14" s="632" t="s">
        <v>302</v>
      </c>
      <c r="I14" s="648">
        <f>'Section 14 data country'!$N$49</f>
        <v>5489.2429999999995</v>
      </c>
      <c r="J14" s="629">
        <f>'Section 14 data country'!$N$11</f>
        <v>6465.1950000000006</v>
      </c>
      <c r="K14" s="629">
        <f t="shared" si="1"/>
        <v>9.6327672139856091</v>
      </c>
      <c r="L14" s="628">
        <f t="shared" si="2"/>
        <v>8.1786550908363935</v>
      </c>
    </row>
    <row r="15" spans="2:12" ht="15" customHeight="1" x14ac:dyDescent="0.2">
      <c r="B15" s="632" t="s">
        <v>303</v>
      </c>
      <c r="C15" s="650">
        <f>'Section 14 data country'!$J$69</f>
        <v>5.0430000000000001</v>
      </c>
      <c r="D15" s="650">
        <f>'Section 14 data country'!$K$69</f>
        <v>435.245</v>
      </c>
      <c r="E15" s="634">
        <f>'Section 14 data country'!$L$69</f>
        <v>16.45</v>
      </c>
      <c r="F15" s="649">
        <f t="shared" si="0"/>
        <v>440.28800000000001</v>
      </c>
      <c r="G15" s="25"/>
      <c r="H15" s="632" t="s">
        <v>303</v>
      </c>
      <c r="I15" s="648">
        <f>'Section 14 data country'!$N$50</f>
        <v>17221.775000000001</v>
      </c>
      <c r="J15" s="629">
        <f>'Section 14 data country'!$N$12</f>
        <v>20587.675000000003</v>
      </c>
      <c r="K15" s="629">
        <f t="shared" si="1"/>
        <v>2.5565773562829617</v>
      </c>
      <c r="L15" s="628">
        <f t="shared" si="2"/>
        <v>2.1385999147548227</v>
      </c>
    </row>
    <row r="16" spans="2:12" ht="15" customHeight="1" x14ac:dyDescent="0.2">
      <c r="B16" s="632" t="s">
        <v>304</v>
      </c>
      <c r="C16" s="650">
        <f>'Section 14 data country'!$J$70</f>
        <v>1.054</v>
      </c>
      <c r="D16" s="650">
        <f>'Section 14 data country'!$K$70</f>
        <v>1160.393</v>
      </c>
      <c r="E16" s="634">
        <f>'Section 14 data country'!$L$70</f>
        <v>70.67</v>
      </c>
      <c r="F16" s="649">
        <f t="shared" si="0"/>
        <v>1161.4470000000001</v>
      </c>
      <c r="G16" s="25"/>
      <c r="H16" s="632" t="s">
        <v>304</v>
      </c>
      <c r="I16" s="648">
        <f>'Section 14 data country'!$N$51</f>
        <v>7404.7919999999995</v>
      </c>
      <c r="J16" s="629">
        <f>'Section 14 data country'!$N$13</f>
        <v>9282.0709999999999</v>
      </c>
      <c r="K16" s="629">
        <f t="shared" si="1"/>
        <v>15.685072585428466</v>
      </c>
      <c r="L16" s="628">
        <f t="shared" si="2"/>
        <v>12.512800214521093</v>
      </c>
    </row>
    <row r="17" spans="2:12" ht="15" customHeight="1" x14ac:dyDescent="0.2">
      <c r="B17" s="632" t="s">
        <v>291</v>
      </c>
      <c r="C17" s="650">
        <f>'Section 14 data country'!$J$71</f>
        <v>0</v>
      </c>
      <c r="D17" s="650">
        <f>'Section 14 data country'!$K$71</f>
        <v>885.81</v>
      </c>
      <c r="E17" s="634">
        <f>'Section 14 data country'!$L$71</f>
        <v>0</v>
      </c>
      <c r="F17" s="649">
        <f t="shared" si="0"/>
        <v>885.81</v>
      </c>
      <c r="G17" s="25"/>
      <c r="H17" s="632" t="s">
        <v>291</v>
      </c>
      <c r="I17" s="648">
        <f>'Section 14 data country'!$N$52</f>
        <v>5556.7159999999994</v>
      </c>
      <c r="J17" s="629">
        <f>'Section 14 data country'!$N$14</f>
        <v>20394.612999999998</v>
      </c>
      <c r="K17" s="629">
        <f t="shared" si="1"/>
        <v>15.941250191659968</v>
      </c>
      <c r="L17" s="628">
        <f t="shared" si="2"/>
        <v>4.3433528255721257</v>
      </c>
    </row>
    <row r="18" spans="2:12" ht="15" customHeight="1" x14ac:dyDescent="0.2">
      <c r="B18" s="632" t="s">
        <v>292</v>
      </c>
      <c r="C18" s="650">
        <f>'Section 14 data country'!$J$72</f>
        <v>33.290999999999997</v>
      </c>
      <c r="D18" s="650">
        <f>'Section 14 data country'!$K$72</f>
        <v>491.45600000000002</v>
      </c>
      <c r="E18" s="634">
        <f>'Section 14 data country'!$L$72</f>
        <v>15.9</v>
      </c>
      <c r="F18" s="649">
        <f t="shared" si="0"/>
        <v>524.74700000000007</v>
      </c>
      <c r="G18" s="25"/>
      <c r="H18" s="632" t="s">
        <v>292</v>
      </c>
      <c r="I18" s="648">
        <f>'Section 14 data country'!$N$53</f>
        <v>21854.725999999999</v>
      </c>
      <c r="J18" s="629">
        <f>'Section 14 data country'!$N$15</f>
        <v>28762.093000000001</v>
      </c>
      <c r="K18" s="629">
        <f t="shared" si="1"/>
        <v>2.4010687665450487</v>
      </c>
      <c r="L18" s="628">
        <f t="shared" si="2"/>
        <v>1.8244395496530799</v>
      </c>
    </row>
    <row r="19" spans="2:12" ht="15" customHeight="1" x14ac:dyDescent="0.2">
      <c r="B19" s="632" t="s">
        <v>293</v>
      </c>
      <c r="C19" s="650">
        <f>'Section 14 data country'!$J$73</f>
        <v>1.897</v>
      </c>
      <c r="D19" s="650">
        <f>'Section 14 data country'!$K$73</f>
        <v>714.95</v>
      </c>
      <c r="E19" s="634">
        <f>'Section 14 data country'!$L$73</f>
        <v>21.51</v>
      </c>
      <c r="F19" s="649">
        <f t="shared" si="0"/>
        <v>716.84700000000009</v>
      </c>
      <c r="G19" s="25"/>
      <c r="H19" s="632" t="s">
        <v>293</v>
      </c>
      <c r="I19" s="648">
        <f>'Section 14 data country'!$N$54</f>
        <v>16691.351999999999</v>
      </c>
      <c r="J19" s="629">
        <f>'Section 14 data country'!$N$16</f>
        <v>22055.275000000001</v>
      </c>
      <c r="K19" s="629">
        <f t="shared" si="1"/>
        <v>4.2947210028282923</v>
      </c>
      <c r="L19" s="628">
        <f t="shared" si="2"/>
        <v>3.2502292535459207</v>
      </c>
    </row>
    <row r="20" spans="2:12" ht="15" customHeight="1" x14ac:dyDescent="0.2">
      <c r="B20" s="632" t="s">
        <v>294</v>
      </c>
      <c r="C20" s="650">
        <f>'Section 14 data country'!$J$74</f>
        <v>42.631</v>
      </c>
      <c r="D20" s="650">
        <f>'Section 14 data country'!$K$74</f>
        <v>1429.4110000000001</v>
      </c>
      <c r="E20" s="634">
        <f>'Section 14 data country'!$L$74</f>
        <v>28.37</v>
      </c>
      <c r="F20" s="649">
        <f t="shared" si="0"/>
        <v>1472.0420000000001</v>
      </c>
      <c r="G20" s="25"/>
      <c r="H20" s="632" t="s">
        <v>294</v>
      </c>
      <c r="I20" s="648">
        <f>'Section 14 data country'!$N$55</f>
        <v>17864.198</v>
      </c>
      <c r="J20" s="629">
        <f>'Section 14 data country'!$N$17</f>
        <v>25541.550999999999</v>
      </c>
      <c r="K20" s="629">
        <f t="shared" si="1"/>
        <v>8.2401796039206463</v>
      </c>
      <c r="L20" s="628">
        <f t="shared" si="2"/>
        <v>5.7633226737092045</v>
      </c>
    </row>
    <row r="21" spans="2:12" ht="15" customHeight="1" x14ac:dyDescent="0.2">
      <c r="B21" s="632" t="s">
        <v>295</v>
      </c>
      <c r="C21" s="650">
        <f>'Section 14 data country'!$J$75</f>
        <v>8.593</v>
      </c>
      <c r="D21" s="650">
        <f>'Section 14 data country'!$K$75</f>
        <v>1301.2929999999999</v>
      </c>
      <c r="E21" s="634">
        <f>'Section 14 data country'!$L$75</f>
        <v>33.700000000000003</v>
      </c>
      <c r="F21" s="649">
        <f t="shared" si="0"/>
        <v>1309.886</v>
      </c>
      <c r="G21" s="25"/>
      <c r="H21" s="632" t="s">
        <v>295</v>
      </c>
      <c r="I21" s="648">
        <f>'Section 14 data country'!$N$56</f>
        <v>22718.856</v>
      </c>
      <c r="J21" s="629">
        <f>'Section 14 data country'!$N$18</f>
        <v>34428.548000000003</v>
      </c>
      <c r="K21" s="629">
        <f t="shared" si="1"/>
        <v>5.7656336216929231</v>
      </c>
      <c r="L21" s="628">
        <f t="shared" si="2"/>
        <v>3.8046507218370054</v>
      </c>
    </row>
    <row r="22" spans="2:12" ht="15" customHeight="1" x14ac:dyDescent="0.2">
      <c r="B22" s="624" t="s">
        <v>296</v>
      </c>
      <c r="C22" s="647">
        <f>'Section 14 data country'!$J$76</f>
        <v>1.9730000000000001</v>
      </c>
      <c r="D22" s="647">
        <f>'Section 14 data country'!$K$76</f>
        <v>2779.768</v>
      </c>
      <c r="E22" s="626">
        <f>'Section 14 data country'!$L$76</f>
        <v>55.57</v>
      </c>
      <c r="F22" s="646">
        <f t="shared" si="0"/>
        <v>2781.741</v>
      </c>
      <c r="G22" s="25"/>
      <c r="H22" s="624" t="s">
        <v>296</v>
      </c>
      <c r="I22" s="645">
        <f>'Section 14 data country'!$N$57</f>
        <v>11587.5</v>
      </c>
      <c r="J22" s="621">
        <f>'Section 14 data country'!$N$19</f>
        <v>19961.705999999998</v>
      </c>
      <c r="K22" s="621">
        <f t="shared" si="1"/>
        <v>24.00639482200647</v>
      </c>
      <c r="L22" s="620">
        <f t="shared" si="2"/>
        <v>13.9353870856529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812ACC1-B26A-4116-95BD-B6C3FEC6A266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D7868E30-79AB-4555-A130-8DCAC3DE32BF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944</v>
      </c>
      <c r="C3" t="s">
        <v>945</v>
      </c>
    </row>
    <row r="5" spans="2:12" ht="15" customHeight="1" x14ac:dyDescent="0.2">
      <c r="B5" s="1070" t="s">
        <v>739</v>
      </c>
      <c r="C5" s="1141" t="s">
        <v>971</v>
      </c>
      <c r="D5" s="1141"/>
      <c r="E5" s="1141"/>
      <c r="F5" s="1133"/>
      <c r="G5" s="25"/>
      <c r="H5" s="1070" t="s">
        <v>738</v>
      </c>
      <c r="I5" s="1021" t="s">
        <v>284</v>
      </c>
      <c r="J5" s="1089"/>
      <c r="K5" s="1089"/>
      <c r="L5" s="1018"/>
    </row>
    <row r="6" spans="2:12" ht="60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391</v>
      </c>
      <c r="L6" s="640" t="s">
        <v>392</v>
      </c>
    </row>
    <row r="7" spans="2:12" ht="45" customHeight="1" x14ac:dyDescent="0.2">
      <c r="B7" s="1155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1155"/>
      <c r="I7" s="598" t="s">
        <v>271</v>
      </c>
      <c r="J7" s="597" t="s">
        <v>271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14 data country'!$Q$62</f>
        <v>1347.2370000000001</v>
      </c>
      <c r="D8" s="652">
        <f>'Section 14 data country'!$R$62</f>
        <v>44683.402999999998</v>
      </c>
      <c r="E8" s="638">
        <f>'Section 14 data country'!$S$62</f>
        <v>10.125367505067075</v>
      </c>
      <c r="F8" s="651">
        <f>SUM(C8,D8)</f>
        <v>46030.64</v>
      </c>
      <c r="G8" s="25"/>
      <c r="H8" s="636" t="s">
        <v>721</v>
      </c>
      <c r="I8" s="65">
        <f>'Section 14 data country'!$U$43</f>
        <v>1041478.706</v>
      </c>
      <c r="J8" s="66">
        <f>'Section 14 data country'!$U$5</f>
        <v>1347450.7200000002</v>
      </c>
      <c r="K8" s="55">
        <f>IF(I8=0,0,100*F8/I8)</f>
        <v>4.4197389475959197</v>
      </c>
      <c r="L8" s="56">
        <f>IF(J8=0,0,100*F8/J8)</f>
        <v>3.4161279011376382</v>
      </c>
    </row>
    <row r="9" spans="2:12" ht="15" customHeight="1" x14ac:dyDescent="0.2">
      <c r="B9" s="632" t="s">
        <v>286</v>
      </c>
      <c r="C9" s="650">
        <f>'Section 14 data country'!$Q$63</f>
        <v>0</v>
      </c>
      <c r="D9" s="650">
        <f>'Section 14 data country'!$R$63</f>
        <v>0.28299999999999997</v>
      </c>
      <c r="E9" s="634">
        <f>'Section 14 data country'!$S$63</f>
        <v>89.15</v>
      </c>
      <c r="F9" s="649">
        <f t="shared" ref="F9:F22" si="0">SUM(C9,D9)</f>
        <v>0.28299999999999997</v>
      </c>
      <c r="G9" s="25"/>
      <c r="H9" s="632" t="s">
        <v>286</v>
      </c>
      <c r="I9" s="648">
        <f>'Section 14 data country'!$U$44</f>
        <v>49491.281999999999</v>
      </c>
      <c r="J9" s="629">
        <f>'Section 14 data country'!$U$6</f>
        <v>88711.834000000003</v>
      </c>
      <c r="K9" s="629">
        <f t="shared" ref="K9:K22" si="1">IF(I9=0,0,100*F9/I9)</f>
        <v>5.7181788097548166E-4</v>
      </c>
      <c r="L9" s="628">
        <f t="shared" ref="L9:L22" si="2">IF(J9=0,0,100*F9/J9)</f>
        <v>3.1901042650070785E-4</v>
      </c>
    </row>
    <row r="10" spans="2:12" ht="15" customHeight="1" x14ac:dyDescent="0.2">
      <c r="B10" s="632" t="s">
        <v>298</v>
      </c>
      <c r="C10" s="650">
        <f>'Section 14 data country'!$Q$64</f>
        <v>24.582000000000001</v>
      </c>
      <c r="D10" s="650">
        <f>'Section 14 data country'!$R$64</f>
        <v>1926.085</v>
      </c>
      <c r="E10" s="634">
        <f>'Section 14 data country'!$S$64</f>
        <v>20.309999999999999</v>
      </c>
      <c r="F10" s="649">
        <f t="shared" si="0"/>
        <v>1950.6670000000001</v>
      </c>
      <c r="G10" s="25"/>
      <c r="H10" s="632" t="s">
        <v>298</v>
      </c>
      <c r="I10" s="648">
        <f>'Section 14 data country'!$U$45</f>
        <v>101036.16800000001</v>
      </c>
      <c r="J10" s="629">
        <f>'Section 14 data country'!$U$7</f>
        <v>124156.857</v>
      </c>
      <c r="K10" s="629">
        <f t="shared" si="1"/>
        <v>1.9306620971610879</v>
      </c>
      <c r="L10" s="628">
        <f t="shared" si="2"/>
        <v>1.5711311055498127</v>
      </c>
    </row>
    <row r="11" spans="2:12" ht="15" customHeight="1" x14ac:dyDescent="0.2">
      <c r="B11" s="632" t="s">
        <v>287</v>
      </c>
      <c r="C11" s="650">
        <f>'Section 14 data country'!$Q$65</f>
        <v>108.17</v>
      </c>
      <c r="D11" s="650">
        <f>'Section 14 data country'!$R$65</f>
        <v>3090.06</v>
      </c>
      <c r="E11" s="634">
        <f>'Section 14 data country'!$S$65</f>
        <v>21.03</v>
      </c>
      <c r="F11" s="649">
        <f t="shared" si="0"/>
        <v>3198.23</v>
      </c>
      <c r="G11" s="25"/>
      <c r="H11" s="632" t="s">
        <v>287</v>
      </c>
      <c r="I11" s="648">
        <f>'Section 14 data country'!$U$46</f>
        <v>99653.861000000004</v>
      </c>
      <c r="J11" s="629">
        <f>'Section 14 data country'!$U$8</f>
        <v>129036.50900000001</v>
      </c>
      <c r="K11" s="629">
        <f t="shared" si="1"/>
        <v>3.2093387731359448</v>
      </c>
      <c r="L11" s="628">
        <f t="shared" si="2"/>
        <v>2.4785465949020673</v>
      </c>
    </row>
    <row r="12" spans="2:12" ht="15" customHeight="1" x14ac:dyDescent="0.2">
      <c r="B12" s="632" t="s">
        <v>288</v>
      </c>
      <c r="C12" s="650">
        <f>'Section 14 data country'!$Q$66</f>
        <v>29.798999999999999</v>
      </c>
      <c r="D12" s="650">
        <f>'Section 14 data country'!$R$66</f>
        <v>906.21900000000005</v>
      </c>
      <c r="E12" s="634">
        <f>'Section 14 data country'!$S$66</f>
        <v>38.74</v>
      </c>
      <c r="F12" s="649">
        <f t="shared" si="0"/>
        <v>936.01800000000003</v>
      </c>
      <c r="G12" s="25"/>
      <c r="H12" s="632" t="s">
        <v>288</v>
      </c>
      <c r="I12" s="648">
        <f>'Section 14 data country'!$U$47</f>
        <v>41422.396000000001</v>
      </c>
      <c r="J12" s="629">
        <f>'Section 14 data country'!$U$9</f>
        <v>50700.447</v>
      </c>
      <c r="K12" s="629">
        <f t="shared" si="1"/>
        <v>2.2596906272635704</v>
      </c>
      <c r="L12" s="628">
        <f t="shared" si="2"/>
        <v>1.8461730722019078</v>
      </c>
    </row>
    <row r="13" spans="2:12" ht="15" customHeight="1" x14ac:dyDescent="0.2">
      <c r="B13" s="632" t="s">
        <v>301</v>
      </c>
      <c r="C13" s="650">
        <f>'Section 14 data country'!$Q$67</f>
        <v>9.5440000000000005</v>
      </c>
      <c r="D13" s="650">
        <f>'Section 14 data country'!$R$67</f>
        <v>75.572999999999993</v>
      </c>
      <c r="E13" s="634">
        <f>'Section 14 data country'!$S$67</f>
        <v>109.31</v>
      </c>
      <c r="F13" s="649">
        <f t="shared" si="0"/>
        <v>85.11699999999999</v>
      </c>
      <c r="G13" s="25"/>
      <c r="H13" s="632" t="s">
        <v>301</v>
      </c>
      <c r="I13" s="648">
        <f>'Section 14 data country'!$U$48</f>
        <v>21688.277999999998</v>
      </c>
      <c r="J13" s="629">
        <f>'Section 14 data country'!$U$10</f>
        <v>23832.075999999997</v>
      </c>
      <c r="K13" s="629">
        <f t="shared" si="1"/>
        <v>0.39245623834220494</v>
      </c>
      <c r="L13" s="628">
        <f t="shared" si="2"/>
        <v>0.35715310743386353</v>
      </c>
    </row>
    <row r="14" spans="2:12" ht="15" customHeight="1" x14ac:dyDescent="0.2">
      <c r="B14" s="632" t="s">
        <v>302</v>
      </c>
      <c r="C14" s="650">
        <f>'Section 14 data country'!$Q$68</f>
        <v>0.34599999999999997</v>
      </c>
      <c r="D14" s="650">
        <f>'Section 14 data country'!$R$68</f>
        <v>169.69200000000001</v>
      </c>
      <c r="E14" s="634">
        <f>'Section 14 data country'!$S$68</f>
        <v>80.099999999999994</v>
      </c>
      <c r="F14" s="649">
        <f t="shared" si="0"/>
        <v>170.03800000000001</v>
      </c>
      <c r="G14" s="25"/>
      <c r="H14" s="632" t="s">
        <v>302</v>
      </c>
      <c r="I14" s="648">
        <f>'Section 14 data country'!$U$49</f>
        <v>27971.547999999999</v>
      </c>
      <c r="J14" s="629">
        <f>'Section 14 data country'!$U$11</f>
        <v>30174.713000000003</v>
      </c>
      <c r="K14" s="629">
        <f t="shared" si="1"/>
        <v>0.60789628089228398</v>
      </c>
      <c r="L14" s="628">
        <f t="shared" si="2"/>
        <v>0.56351157341579361</v>
      </c>
    </row>
    <row r="15" spans="2:12" ht="15" customHeight="1" x14ac:dyDescent="0.2">
      <c r="B15" s="632" t="s">
        <v>303</v>
      </c>
      <c r="C15" s="650">
        <f>'Section 14 data country'!$Q$69</f>
        <v>197.715</v>
      </c>
      <c r="D15" s="650">
        <f>'Section 14 data country'!$R$69</f>
        <v>24275.75</v>
      </c>
      <c r="E15" s="634">
        <f>'Section 14 data country'!$S$69</f>
        <v>15.3</v>
      </c>
      <c r="F15" s="649">
        <f t="shared" si="0"/>
        <v>24473.465</v>
      </c>
      <c r="G15" s="25"/>
      <c r="H15" s="632" t="s">
        <v>303</v>
      </c>
      <c r="I15" s="648">
        <f>'Section 14 data country'!$U$50</f>
        <v>125248.374</v>
      </c>
      <c r="J15" s="629">
        <f>'Section 14 data country'!$U$12</f>
        <v>134691.53</v>
      </c>
      <c r="K15" s="629">
        <f t="shared" si="1"/>
        <v>19.539946283055141</v>
      </c>
      <c r="L15" s="628">
        <f t="shared" si="2"/>
        <v>18.170010393378114</v>
      </c>
    </row>
    <row r="16" spans="2:12" ht="15" customHeight="1" x14ac:dyDescent="0.2">
      <c r="B16" s="632" t="s">
        <v>304</v>
      </c>
      <c r="C16" s="650">
        <f>'Section 14 data country'!$Q$70</f>
        <v>6.851</v>
      </c>
      <c r="D16" s="650">
        <f>'Section 14 data country'!$R$70</f>
        <v>60.845999999999997</v>
      </c>
      <c r="E16" s="634">
        <f>'Section 14 data country'!$S$70</f>
        <v>75.58</v>
      </c>
      <c r="F16" s="649">
        <f t="shared" si="0"/>
        <v>67.697000000000003</v>
      </c>
      <c r="G16" s="25"/>
      <c r="H16" s="632" t="s">
        <v>304</v>
      </c>
      <c r="I16" s="648">
        <f>'Section 14 data country'!$U$51</f>
        <v>46181.748999999996</v>
      </c>
      <c r="J16" s="629">
        <f>'Section 14 data country'!$U$13</f>
        <v>52731.939999999995</v>
      </c>
      <c r="K16" s="629">
        <f t="shared" si="1"/>
        <v>0.1465882117197424</v>
      </c>
      <c r="L16" s="628">
        <f t="shared" si="2"/>
        <v>0.12837949826992903</v>
      </c>
    </row>
    <row r="17" spans="2:12" ht="15" customHeight="1" x14ac:dyDescent="0.2">
      <c r="B17" s="632" t="s">
        <v>291</v>
      </c>
      <c r="C17" s="650">
        <f>'Section 14 data country'!$Q$71</f>
        <v>0</v>
      </c>
      <c r="D17" s="650">
        <f>'Section 14 data country'!$R$71</f>
        <v>0</v>
      </c>
      <c r="E17" s="634">
        <f>'Section 14 data country'!$S$71</f>
        <v>0</v>
      </c>
      <c r="F17" s="649">
        <f t="shared" si="0"/>
        <v>0</v>
      </c>
      <c r="G17" s="25"/>
      <c r="H17" s="632" t="s">
        <v>291</v>
      </c>
      <c r="I17" s="648">
        <f>'Section 14 data country'!$U$52</f>
        <v>50374.337</v>
      </c>
      <c r="J17" s="629">
        <f>'Section 14 data country'!$U$14</f>
        <v>136668.861</v>
      </c>
      <c r="K17" s="629">
        <f t="shared" si="1"/>
        <v>0</v>
      </c>
      <c r="L17" s="628">
        <f t="shared" si="2"/>
        <v>0</v>
      </c>
    </row>
    <row r="18" spans="2:12" ht="15" customHeight="1" x14ac:dyDescent="0.2">
      <c r="B18" s="632" t="s">
        <v>292</v>
      </c>
      <c r="C18" s="650">
        <f>'Section 14 data country'!$Q$72</f>
        <v>164.21199999999999</v>
      </c>
      <c r="D18" s="650">
        <f>'Section 14 data country'!$R$72</f>
        <v>8533.1200000000008</v>
      </c>
      <c r="E18" s="634">
        <f>'Section 14 data country'!$S$72</f>
        <v>25.53</v>
      </c>
      <c r="F18" s="649">
        <f t="shared" si="0"/>
        <v>8697.3320000000003</v>
      </c>
      <c r="G18" s="25"/>
      <c r="H18" s="632" t="s">
        <v>292</v>
      </c>
      <c r="I18" s="648">
        <f>'Section 14 data country'!$U$53</f>
        <v>108875.016</v>
      </c>
      <c r="J18" s="629">
        <f>'Section 14 data country'!$U$15</f>
        <v>127563.79300000001</v>
      </c>
      <c r="K18" s="629">
        <f t="shared" si="1"/>
        <v>7.9883634643966444</v>
      </c>
      <c r="L18" s="628">
        <f t="shared" si="2"/>
        <v>6.8180255505572811</v>
      </c>
    </row>
    <row r="19" spans="2:12" ht="15" customHeight="1" x14ac:dyDescent="0.2">
      <c r="B19" s="632" t="s">
        <v>293</v>
      </c>
      <c r="C19" s="650">
        <f>'Section 14 data country'!$Q$73</f>
        <v>36.723999999999997</v>
      </c>
      <c r="D19" s="650">
        <f>'Section 14 data country'!$R$73</f>
        <v>1394.0229999999999</v>
      </c>
      <c r="E19" s="634">
        <f>'Section 14 data country'!$S$73</f>
        <v>24.32</v>
      </c>
      <c r="F19" s="649">
        <f t="shared" si="0"/>
        <v>1430.7469999999998</v>
      </c>
      <c r="G19" s="25"/>
      <c r="H19" s="632" t="s">
        <v>293</v>
      </c>
      <c r="I19" s="648">
        <f>'Section 14 data country'!$U$54</f>
        <v>82949.718999999997</v>
      </c>
      <c r="J19" s="629">
        <f>'Section 14 data country'!$U$16</f>
        <v>94267.02</v>
      </c>
      <c r="K19" s="629">
        <f t="shared" si="1"/>
        <v>1.7248364638824152</v>
      </c>
      <c r="L19" s="628">
        <f t="shared" si="2"/>
        <v>1.517759869782666</v>
      </c>
    </row>
    <row r="20" spans="2:12" ht="15" customHeight="1" x14ac:dyDescent="0.2">
      <c r="B20" s="632" t="s">
        <v>294</v>
      </c>
      <c r="C20" s="650">
        <f>'Section 14 data country'!$Q$74</f>
        <v>682.745</v>
      </c>
      <c r="D20" s="650">
        <f>'Section 14 data country'!$R$74</f>
        <v>3399.4409999999998</v>
      </c>
      <c r="E20" s="634">
        <f>'Section 14 data country'!$S$74</f>
        <v>29.78</v>
      </c>
      <c r="F20" s="649">
        <f t="shared" si="0"/>
        <v>4082.1859999999997</v>
      </c>
      <c r="G20" s="25"/>
      <c r="H20" s="632" t="s">
        <v>294</v>
      </c>
      <c r="I20" s="648">
        <f>'Section 14 data country'!$U$55</f>
        <v>90018.031000000003</v>
      </c>
      <c r="J20" s="629">
        <f>'Section 14 data country'!$U$17</f>
        <v>105231.709</v>
      </c>
      <c r="K20" s="629">
        <f t="shared" si="1"/>
        <v>4.5348536894791662</v>
      </c>
      <c r="L20" s="628">
        <f t="shared" si="2"/>
        <v>3.8792356779076917</v>
      </c>
    </row>
    <row r="21" spans="2:12" ht="15" customHeight="1" x14ac:dyDescent="0.2">
      <c r="B21" s="632" t="s">
        <v>295</v>
      </c>
      <c r="C21" s="650">
        <f>'Section 14 data country'!$Q$75</f>
        <v>77.269000000000005</v>
      </c>
      <c r="D21" s="650">
        <f>'Section 14 data country'!$R$75</f>
        <v>730.38300000000004</v>
      </c>
      <c r="E21" s="634">
        <f>'Section 14 data country'!$S$75</f>
        <v>33.19</v>
      </c>
      <c r="F21" s="649">
        <f t="shared" si="0"/>
        <v>807.65200000000004</v>
      </c>
      <c r="G21" s="25"/>
      <c r="H21" s="632" t="s">
        <v>295</v>
      </c>
      <c r="I21" s="648">
        <f>'Section 14 data country'!$U$56</f>
        <v>118195.003</v>
      </c>
      <c r="J21" s="629">
        <f>'Section 14 data country'!$U$18</f>
        <v>139638.38500000001</v>
      </c>
      <c r="K21" s="629">
        <f t="shared" si="1"/>
        <v>0.6833216121666329</v>
      </c>
      <c r="L21" s="628">
        <f t="shared" si="2"/>
        <v>0.57838824188635529</v>
      </c>
    </row>
    <row r="22" spans="2:12" ht="15" customHeight="1" x14ac:dyDescent="0.2">
      <c r="B22" s="624" t="s">
        <v>296</v>
      </c>
      <c r="C22" s="647">
        <f>'Section 14 data country'!$Q$76</f>
        <v>9.2799999999999994</v>
      </c>
      <c r="D22" s="647">
        <f>'Section 14 data country'!$R$76</f>
        <v>121.928</v>
      </c>
      <c r="E22" s="626">
        <f>'Section 14 data country'!$S$76</f>
        <v>53.05</v>
      </c>
      <c r="F22" s="646">
        <f t="shared" si="0"/>
        <v>131.208</v>
      </c>
      <c r="G22" s="25"/>
      <c r="H22" s="624" t="s">
        <v>296</v>
      </c>
      <c r="I22" s="645">
        <f>'Section 14 data country'!$U$57</f>
        <v>78372.944000000003</v>
      </c>
      <c r="J22" s="621">
        <f>'Section 14 data country'!$U$19</f>
        <v>110045.046</v>
      </c>
      <c r="K22" s="621">
        <f t="shared" si="1"/>
        <v>0.16741491808703779</v>
      </c>
      <c r="L22" s="620">
        <f t="shared" si="2"/>
        <v>0.11923117375042942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304E44A-F964-46F8-A941-5BF965988522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DEA6F408-4CC5-4605-B235-C2B848C9C29E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Index!$E$164</f>
        <v>Tree health - larch</v>
      </c>
    </row>
  </sheetData>
  <hyperlinks>
    <hyperlink ref="A1" location="Index!B126" display="Return to index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956</v>
      </c>
      <c r="C3" t="s">
        <v>638</v>
      </c>
    </row>
    <row r="5" spans="2:6" ht="15" customHeight="1" x14ac:dyDescent="0.2">
      <c r="B5" s="1147" t="s">
        <v>267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48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18"/>
      <c r="F7" s="92"/>
    </row>
    <row r="8" spans="2:6" ht="15" customHeight="1" x14ac:dyDescent="0.2">
      <c r="B8" s="99" t="s">
        <v>335</v>
      </c>
      <c r="C8" s="840">
        <f>'Section 15 data'!$C$13</f>
        <v>1.0585899999999999</v>
      </c>
      <c r="D8" s="841">
        <f>'Section 15 data'!$D$13</f>
        <v>0.35807000000000005</v>
      </c>
      <c r="E8" s="205">
        <f>'Section 15 data'!$E$13</f>
        <v>29.962548732129811</v>
      </c>
      <c r="F8" s="842">
        <f>SUM(C8,D8)</f>
        <v>1.41666</v>
      </c>
    </row>
    <row r="9" spans="2:6" ht="15" customHeight="1" x14ac:dyDescent="0.2">
      <c r="B9" s="100" t="s">
        <v>336</v>
      </c>
      <c r="C9" s="840">
        <f>'Section 15 data'!$C$14</f>
        <v>1.5634999999999999</v>
      </c>
      <c r="D9" s="841">
        <f>'Section 15 data'!$D$14</f>
        <v>1.1331000000000002</v>
      </c>
      <c r="E9" s="205">
        <f>'Section 15 data'!$E$14</f>
        <v>20.601919886637319</v>
      </c>
      <c r="F9" s="842">
        <f t="shared" ref="F9:F15" si="0">SUM(C9,D9)</f>
        <v>2.6966000000000001</v>
      </c>
    </row>
    <row r="10" spans="2:6" ht="15" customHeight="1" x14ac:dyDescent="0.2">
      <c r="B10" s="99" t="s">
        <v>337</v>
      </c>
      <c r="C10" s="840">
        <f>'Section 15 data'!$C$15</f>
        <v>2.42014</v>
      </c>
      <c r="D10" s="841">
        <f>'Section 15 data'!$D$15</f>
        <v>7.8218599999999991</v>
      </c>
      <c r="E10" s="205">
        <f>'Section 15 data'!$E$15</f>
        <v>9.0617932982880642</v>
      </c>
      <c r="F10" s="842">
        <f t="shared" si="0"/>
        <v>10.241999999999999</v>
      </c>
    </row>
    <row r="11" spans="2:6" ht="15" customHeight="1" x14ac:dyDescent="0.2">
      <c r="B11" s="99" t="s">
        <v>338</v>
      </c>
      <c r="C11" s="840">
        <f>'Section 15 data'!$C$16</f>
        <v>3.1853899999999999</v>
      </c>
      <c r="D11" s="841">
        <f>'Section 15 data'!$D$16</f>
        <v>16.540220000000001</v>
      </c>
      <c r="E11" s="205">
        <f>'Section 15 data'!$E$16</f>
        <v>7.6303951320715688</v>
      </c>
      <c r="F11" s="842">
        <f t="shared" si="0"/>
        <v>19.725610000000003</v>
      </c>
    </row>
    <row r="12" spans="2:6" ht="15" customHeight="1" x14ac:dyDescent="0.2">
      <c r="B12" s="99" t="s">
        <v>339</v>
      </c>
      <c r="C12" s="840">
        <f>'Section 15 data'!$C$17</f>
        <v>1.2173499999999999</v>
      </c>
      <c r="D12" s="841">
        <f>'Section 15 data'!$D$17</f>
        <v>4.2594699999999994</v>
      </c>
      <c r="E12" s="205">
        <f>'Section 15 data'!$E$17</f>
        <v>15.432839275661669</v>
      </c>
      <c r="F12" s="842">
        <f t="shared" si="0"/>
        <v>5.4768199999999991</v>
      </c>
    </row>
    <row r="13" spans="2:6" ht="15" customHeight="1" x14ac:dyDescent="0.2">
      <c r="B13" s="99" t="s">
        <v>340</v>
      </c>
      <c r="C13" s="840">
        <f>'Section 15 data'!$C$18</f>
        <v>0.38861000000000001</v>
      </c>
      <c r="D13" s="841">
        <f>'Section 15 data'!$D$18</f>
        <v>0.22262999999999999</v>
      </c>
      <c r="E13" s="205">
        <f>'Section 15 data'!$E$18</f>
        <v>48.216146469256387</v>
      </c>
      <c r="F13" s="842">
        <f t="shared" si="0"/>
        <v>0.61124000000000001</v>
      </c>
    </row>
    <row r="14" spans="2:6" ht="15" customHeight="1" x14ac:dyDescent="0.2">
      <c r="B14" s="99" t="s">
        <v>268</v>
      </c>
      <c r="C14" s="840">
        <f>'Section 15 data'!$C$19</f>
        <v>7.9049999999999995E-2</v>
      </c>
      <c r="D14" s="841">
        <f>'Section 15 data'!$D$19</f>
        <v>1.072E-2</v>
      </c>
      <c r="E14" s="205">
        <f>'Section 15 data'!$E$19</f>
        <v>99.059999999999988</v>
      </c>
      <c r="F14" s="842">
        <f t="shared" si="0"/>
        <v>8.9769999999999989E-2</v>
      </c>
    </row>
    <row r="15" spans="2:6" ht="15" customHeight="1" x14ac:dyDescent="0.2">
      <c r="B15" s="101" t="s">
        <v>80</v>
      </c>
      <c r="C15" s="102">
        <f>'Section 15 data'!$C$8</f>
        <v>9.9</v>
      </c>
      <c r="D15" s="102">
        <f>'Section 15 data'!$D$8</f>
        <v>30.346109999999999</v>
      </c>
      <c r="E15" s="321">
        <f>'Section 15 data'!$E$8</f>
        <v>5.0982243069023951</v>
      </c>
      <c r="F15" s="102">
        <f t="shared" si="0"/>
        <v>40.246110000000002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8C2F873-2E0A-4A54-961E-F7CD33840BD0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FC796552-7F19-4391-9EE2-36E6A05BD7A7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957</v>
      </c>
      <c r="C3" t="s">
        <v>639</v>
      </c>
    </row>
    <row r="5" spans="2:6" ht="15" customHeight="1" x14ac:dyDescent="0.2">
      <c r="B5" s="1150" t="s">
        <v>269</v>
      </c>
      <c r="C5" s="88" t="s">
        <v>78</v>
      </c>
      <c r="D5" s="1149" t="s">
        <v>79</v>
      </c>
      <c r="E5" s="1149"/>
      <c r="F5" s="89" t="s">
        <v>80</v>
      </c>
    </row>
    <row r="6" spans="2:6" ht="30" customHeight="1" x14ac:dyDescent="0.2">
      <c r="B6" s="1151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4" t="str">
        <f>Index!$B$4</f>
        <v>England</v>
      </c>
      <c r="C7" s="91"/>
      <c r="D7" s="91"/>
      <c r="E7" s="93"/>
      <c r="F7" s="92"/>
    </row>
    <row r="8" spans="2:6" ht="15" customHeight="1" x14ac:dyDescent="0.2">
      <c r="B8" s="94" t="s">
        <v>341</v>
      </c>
      <c r="C8" s="836">
        <f>'Section 15 data'!$C$24</f>
        <v>0.82804000000000011</v>
      </c>
      <c r="D8" s="837">
        <f>'Section 15 data'!$D$24</f>
        <v>0.42347000000000001</v>
      </c>
      <c r="E8" s="205">
        <f>'Section 15 data'!$E$24</f>
        <v>32.088862770651147</v>
      </c>
      <c r="F8" s="838">
        <f>SUM(C8,D8)</f>
        <v>1.2515100000000001</v>
      </c>
    </row>
    <row r="9" spans="2:6" ht="15" customHeight="1" x14ac:dyDescent="0.2">
      <c r="B9" s="95" t="s">
        <v>342</v>
      </c>
      <c r="C9" s="836">
        <f>'Section 15 data'!$C$25</f>
        <v>0.90040999999999982</v>
      </c>
      <c r="D9" s="837">
        <f>'Section 15 data'!$D$25</f>
        <v>0.7730800000000001</v>
      </c>
      <c r="E9" s="205">
        <f>'Section 15 data'!$E$25</f>
        <v>25.879495094565936</v>
      </c>
      <c r="F9" s="838">
        <f t="shared" ref="F9:F17" si="0">SUM(C9,D9)</f>
        <v>1.6734899999999999</v>
      </c>
    </row>
    <row r="10" spans="2:6" ht="15" customHeight="1" x14ac:dyDescent="0.2">
      <c r="B10" s="96" t="s">
        <v>343</v>
      </c>
      <c r="C10" s="836">
        <f>'Section 15 data'!$C$26</f>
        <v>1.9110799999999999</v>
      </c>
      <c r="D10" s="837">
        <f>'Section 15 data'!$D$26</f>
        <v>0.89373999999999998</v>
      </c>
      <c r="E10" s="205">
        <f>'Section 15 data'!$E$26</f>
        <v>18.549572516976266</v>
      </c>
      <c r="F10" s="838">
        <f t="shared" si="0"/>
        <v>2.8048199999999999</v>
      </c>
    </row>
    <row r="11" spans="2:6" ht="15" customHeight="1" x14ac:dyDescent="0.2">
      <c r="B11" s="94" t="s">
        <v>344</v>
      </c>
      <c r="C11" s="836">
        <f>'Section 15 data'!$C$27</f>
        <v>0.78869</v>
      </c>
      <c r="D11" s="837">
        <f>'Section 15 data'!$D$27</f>
        <v>3.5272299999999999</v>
      </c>
      <c r="E11" s="205">
        <f>'Section 15 data'!$E$27</f>
        <v>13.643728754659683</v>
      </c>
      <c r="F11" s="838">
        <f t="shared" si="0"/>
        <v>4.3159200000000002</v>
      </c>
    </row>
    <row r="12" spans="2:6" ht="15" customHeight="1" x14ac:dyDescent="0.2">
      <c r="B12" s="94" t="s">
        <v>345</v>
      </c>
      <c r="C12" s="836">
        <f>'Section 15 data'!$C$28</f>
        <v>2.4088900000000004</v>
      </c>
      <c r="D12" s="837">
        <f>'Section 15 data'!$D$28</f>
        <v>9.0711300000000001</v>
      </c>
      <c r="E12" s="205">
        <f>'Section 15 data'!$E$28</f>
        <v>8.8307790129819796</v>
      </c>
      <c r="F12" s="838">
        <f t="shared" si="0"/>
        <v>11.48002</v>
      </c>
    </row>
    <row r="13" spans="2:6" ht="15" customHeight="1" x14ac:dyDescent="0.2">
      <c r="B13" s="94" t="s">
        <v>346</v>
      </c>
      <c r="C13" s="836">
        <f>'Section 15 data'!$C$29</f>
        <v>2.11808</v>
      </c>
      <c r="D13" s="837">
        <f>'Section 15 data'!$D$29</f>
        <v>10.19084</v>
      </c>
      <c r="E13" s="205">
        <f>'Section 15 data'!$E$29</f>
        <v>9.9209581352437954</v>
      </c>
      <c r="F13" s="838">
        <f t="shared" si="0"/>
        <v>12.308920000000001</v>
      </c>
    </row>
    <row r="14" spans="2:6" ht="15" customHeight="1" x14ac:dyDescent="0.2">
      <c r="B14" s="94" t="s">
        <v>347</v>
      </c>
      <c r="C14" s="836">
        <f>'Section 15 data'!$C$30</f>
        <v>0.89942999999999995</v>
      </c>
      <c r="D14" s="837">
        <f>'Section 15 data'!$D$30</f>
        <v>5.1214099999999991</v>
      </c>
      <c r="E14" s="205">
        <f>'Section 15 data'!$E$30</f>
        <v>12.908074466883152</v>
      </c>
      <c r="F14" s="838">
        <f t="shared" si="0"/>
        <v>6.0208399999999989</v>
      </c>
    </row>
    <row r="15" spans="2:6" ht="15" customHeight="1" x14ac:dyDescent="0.2">
      <c r="B15" s="94" t="s">
        <v>348</v>
      </c>
      <c r="C15" s="836">
        <f>'Section 15 data'!$C$31</f>
        <v>2.6429999999999999E-2</v>
      </c>
      <c r="D15" s="837">
        <f>'Section 15 data'!$D$31</f>
        <v>0.26883000000000001</v>
      </c>
      <c r="E15" s="205">
        <f>'Section 15 data'!$E$31</f>
        <v>107.5128392004183</v>
      </c>
      <c r="F15" s="838">
        <f t="shared" si="0"/>
        <v>0.29526000000000002</v>
      </c>
    </row>
    <row r="16" spans="2:6" ht="15" customHeight="1" x14ac:dyDescent="0.2">
      <c r="B16" s="94" t="s">
        <v>270</v>
      </c>
      <c r="C16" s="836">
        <f>'Section 15 data'!$C$32</f>
        <v>1.5089999999999999E-2</v>
      </c>
      <c r="D16" s="837">
        <f>'Section 15 data'!$D$32</f>
        <v>7.637999999999999E-2</v>
      </c>
      <c r="E16" s="205">
        <f>'Section 15 data'!$E$32</f>
        <v>100.92027242957604</v>
      </c>
      <c r="F16" s="838">
        <f t="shared" si="0"/>
        <v>9.1469999999999996E-2</v>
      </c>
    </row>
    <row r="17" spans="2:6" ht="15" customHeight="1" x14ac:dyDescent="0.2">
      <c r="B17" s="97" t="s">
        <v>80</v>
      </c>
      <c r="C17" s="839">
        <f>'Section 15 data'!$C$8</f>
        <v>9.9</v>
      </c>
      <c r="D17" s="839">
        <f>'Section 15 data'!$D$8</f>
        <v>30.346109999999999</v>
      </c>
      <c r="E17" s="321">
        <f>'Section 15 data'!$E$8</f>
        <v>5.0982243069023951</v>
      </c>
      <c r="F17" s="839">
        <f t="shared" si="0"/>
        <v>40.246110000000002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E49E008-E340-4874-B4AA-723F75D3D90D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3A56C7AB-2FDD-471D-A52F-C6918C2F7818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958</v>
      </c>
      <c r="C3" t="s">
        <v>640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75" t="s">
        <v>326</v>
      </c>
      <c r="D6" s="75" t="s">
        <v>326</v>
      </c>
      <c r="E6" s="19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15 data'!$J$13</f>
        <v>4.9409999999999998</v>
      </c>
      <c r="D8" s="829">
        <f>'Section 15 data'!$K$13</f>
        <v>1.0048300000000001</v>
      </c>
      <c r="E8" s="205">
        <f>'Section 15 data'!$L$13</f>
        <v>54.890018149697696</v>
      </c>
      <c r="F8" s="822">
        <f>SUM(C8,D8)</f>
        <v>5.9458299999999999</v>
      </c>
    </row>
    <row r="9" spans="2:6" ht="15" customHeight="1" x14ac:dyDescent="0.2">
      <c r="B9" s="82" t="s">
        <v>336</v>
      </c>
      <c r="C9" s="67">
        <f>'Section 15 data'!$J$14</f>
        <v>112.675</v>
      </c>
      <c r="D9" s="829">
        <f>'Section 15 data'!$K$14</f>
        <v>60.79166</v>
      </c>
      <c r="E9" s="205">
        <f>'Section 15 data'!$L$14</f>
        <v>25.975168610366879</v>
      </c>
      <c r="F9" s="822">
        <f t="shared" ref="F9:F15" si="0">SUM(C9,D9)</f>
        <v>173.46665999999999</v>
      </c>
    </row>
    <row r="10" spans="2:6" ht="15" customHeight="1" x14ac:dyDescent="0.2">
      <c r="B10" s="81" t="s">
        <v>337</v>
      </c>
      <c r="C10" s="67">
        <f>'Section 15 data'!$J$15</f>
        <v>370.88599999999997</v>
      </c>
      <c r="D10" s="829">
        <f>'Section 15 data'!$K$15</f>
        <v>2006.4103500000001</v>
      </c>
      <c r="E10" s="205">
        <f>'Section 15 data'!$L$15</f>
        <v>10.963336460332471</v>
      </c>
      <c r="F10" s="822">
        <f t="shared" si="0"/>
        <v>2377.2963500000001</v>
      </c>
    </row>
    <row r="11" spans="2:6" ht="15" customHeight="1" x14ac:dyDescent="0.2">
      <c r="B11" s="81" t="s">
        <v>338</v>
      </c>
      <c r="C11" s="67">
        <f>'Section 15 data'!$J$16</f>
        <v>725.28899999999999</v>
      </c>
      <c r="D11" s="829">
        <f>'Section 15 data'!$K$16</f>
        <v>5662.0071600000001</v>
      </c>
      <c r="E11" s="205">
        <f>'Section 15 data'!$L$16</f>
        <v>8.2323530806997454</v>
      </c>
      <c r="F11" s="822">
        <f t="shared" si="0"/>
        <v>6387.2961599999999</v>
      </c>
    </row>
    <row r="12" spans="2:6" ht="15" customHeight="1" x14ac:dyDescent="0.2">
      <c r="B12" s="81" t="s">
        <v>339</v>
      </c>
      <c r="C12" s="67">
        <f>'Section 15 data'!$J$17</f>
        <v>355.03500000000003</v>
      </c>
      <c r="D12" s="829">
        <f>'Section 15 data'!$K$17</f>
        <v>2036.74442</v>
      </c>
      <c r="E12" s="205">
        <f>'Section 15 data'!$L$17</f>
        <v>18.093415768837794</v>
      </c>
      <c r="F12" s="822">
        <f t="shared" si="0"/>
        <v>2391.7794199999998</v>
      </c>
    </row>
    <row r="13" spans="2:6" ht="15" customHeight="1" x14ac:dyDescent="0.2">
      <c r="B13" s="81" t="s">
        <v>340</v>
      </c>
      <c r="C13" s="67">
        <f>'Section 15 data'!$J$18</f>
        <v>94.933999999999997</v>
      </c>
      <c r="D13" s="829">
        <f>'Section 15 data'!$K$18</f>
        <v>115.239</v>
      </c>
      <c r="E13" s="205">
        <f>'Section 15 data'!$L$18</f>
        <v>45.984229184910014</v>
      </c>
      <c r="F13" s="822">
        <f t="shared" si="0"/>
        <v>210.173</v>
      </c>
    </row>
    <row r="14" spans="2:6" ht="15" customHeight="1" x14ac:dyDescent="0.2">
      <c r="B14" s="81" t="s">
        <v>268</v>
      </c>
      <c r="C14" s="67">
        <f>'Section 15 data'!$J$19</f>
        <v>14.096</v>
      </c>
      <c r="D14" s="829">
        <f>'Section 15 data'!$K$19</f>
        <v>4.2389999999999999</v>
      </c>
      <c r="E14" s="205">
        <f>'Section 15 data'!$L$19</f>
        <v>99.06</v>
      </c>
      <c r="F14" s="822">
        <f t="shared" si="0"/>
        <v>18.335000000000001</v>
      </c>
    </row>
    <row r="15" spans="2:6" ht="15" customHeight="1" x14ac:dyDescent="0.2">
      <c r="B15" s="83" t="s">
        <v>80</v>
      </c>
      <c r="C15" s="830">
        <f>'Section 15 data'!$J$8</f>
        <v>1677.8589999999999</v>
      </c>
      <c r="D15" s="830">
        <f>'Section 15 data'!$K$8</f>
        <v>10778.144</v>
      </c>
      <c r="E15" s="321">
        <f>'Section 15 data'!$L$8</f>
        <v>5.8904734254558937</v>
      </c>
      <c r="F15" s="831">
        <f t="shared" si="0"/>
        <v>12456.003000000001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EE0F801A-6029-47C1-9AC2-70108A6AA36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  <x14:conditionalFormatting xmlns:xm="http://schemas.microsoft.com/office/excel/2006/main">
          <x14:cfRule type="expression" priority="1" id="{622F5971-C912-48DC-9825-B735FA41B1D8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</x14:conditionalFormattings>
    </ext>
  </extLst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959</v>
      </c>
      <c r="C3" t="s">
        <v>641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326</v>
      </c>
      <c r="D6" s="75" t="s">
        <v>326</v>
      </c>
      <c r="E6" s="21" t="s">
        <v>82</v>
      </c>
      <c r="F6" s="75" t="s">
        <v>326</v>
      </c>
    </row>
    <row r="7" spans="2:6" ht="15" customHeight="1" x14ac:dyDescent="0.2">
      <c r="B7" s="144" t="str">
        <f>Index!$B$4</f>
        <v>England</v>
      </c>
      <c r="C7" s="69"/>
      <c r="D7" s="69"/>
      <c r="E7" s="22"/>
      <c r="F7" s="71"/>
    </row>
    <row r="8" spans="2:6" ht="15" customHeight="1" x14ac:dyDescent="0.2">
      <c r="B8" s="78" t="s">
        <v>341</v>
      </c>
      <c r="C8" s="67">
        <f>'Section 15 data'!$J$24</f>
        <v>0.59299999999999997</v>
      </c>
      <c r="D8" s="85">
        <f>'Section 15 data'!$K$24</f>
        <v>0.115</v>
      </c>
      <c r="E8" s="205">
        <f>'Section 15 data'!$L$24</f>
        <v>54.14</v>
      </c>
      <c r="F8" s="822">
        <f>SUM(C8,D8)</f>
        <v>0.70799999999999996</v>
      </c>
    </row>
    <row r="9" spans="2:6" ht="15" customHeight="1" x14ac:dyDescent="0.2">
      <c r="B9" s="79" t="s">
        <v>342</v>
      </c>
      <c r="C9" s="67">
        <f>'Section 15 data'!$J$25</f>
        <v>28.018000000000001</v>
      </c>
      <c r="D9" s="85">
        <f>'Section 15 data'!$K$25</f>
        <v>26.494</v>
      </c>
      <c r="E9" s="205">
        <f>'Section 15 data'!$L$25</f>
        <v>34.02826697678735</v>
      </c>
      <c r="F9" s="822">
        <f t="shared" ref="F9:F17" si="0">SUM(C9,D9)</f>
        <v>54.512</v>
      </c>
    </row>
    <row r="10" spans="2:6" ht="15" customHeight="1" x14ac:dyDescent="0.2">
      <c r="B10" s="80" t="s">
        <v>343</v>
      </c>
      <c r="C10" s="67">
        <f>'Section 15 data'!$J$26</f>
        <v>219.74299999999999</v>
      </c>
      <c r="D10" s="85">
        <f>'Section 15 data'!$K$26</f>
        <v>92.682000000000002</v>
      </c>
      <c r="E10" s="205">
        <f>'Section 15 data'!$L$26</f>
        <v>23.055844613491448</v>
      </c>
      <c r="F10" s="822">
        <f t="shared" si="0"/>
        <v>312.42500000000001</v>
      </c>
    </row>
    <row r="11" spans="2:6" ht="15" customHeight="1" x14ac:dyDescent="0.2">
      <c r="B11" s="78" t="s">
        <v>344</v>
      </c>
      <c r="C11" s="67">
        <f>'Section 15 data'!$J$27</f>
        <v>142.137</v>
      </c>
      <c r="D11" s="85">
        <f>'Section 15 data'!$K$27</f>
        <v>850.09100000000001</v>
      </c>
      <c r="E11" s="205">
        <f>'Section 15 data'!$L$27</f>
        <v>14.377748877931829</v>
      </c>
      <c r="F11" s="822">
        <f t="shared" si="0"/>
        <v>992.22800000000007</v>
      </c>
    </row>
    <row r="12" spans="2:6" ht="15" customHeight="1" x14ac:dyDescent="0.2">
      <c r="B12" s="78" t="s">
        <v>345</v>
      </c>
      <c r="C12" s="67">
        <f>'Section 15 data'!$J$28</f>
        <v>543.11</v>
      </c>
      <c r="D12" s="85">
        <f>'Section 15 data'!$K$28</f>
        <v>3049.6930000000002</v>
      </c>
      <c r="E12" s="205">
        <f>'Section 15 data'!$L$28</f>
        <v>9.1126150566931674</v>
      </c>
      <c r="F12" s="822">
        <f t="shared" si="0"/>
        <v>3592.8030000000003</v>
      </c>
    </row>
    <row r="13" spans="2:6" ht="15" customHeight="1" x14ac:dyDescent="0.2">
      <c r="B13" s="78" t="s">
        <v>346</v>
      </c>
      <c r="C13" s="67">
        <f>'Section 15 data'!$J$29</f>
        <v>492.26100000000002</v>
      </c>
      <c r="D13" s="85">
        <f>'Section 15 data'!$K$29</f>
        <v>3915.915</v>
      </c>
      <c r="E13" s="205">
        <f>'Section 15 data'!$L$29</f>
        <v>10.822809612035297</v>
      </c>
      <c r="F13" s="822">
        <f t="shared" si="0"/>
        <v>4408.1760000000004</v>
      </c>
    </row>
    <row r="14" spans="2:6" ht="15" customHeight="1" x14ac:dyDescent="0.2">
      <c r="B14" s="78" t="s">
        <v>347</v>
      </c>
      <c r="C14" s="67">
        <f>'Section 15 data'!$J$30</f>
        <v>242.376</v>
      </c>
      <c r="D14" s="85">
        <f>'Section 15 data'!$K$30</f>
        <v>2650.4560000000001</v>
      </c>
      <c r="E14" s="205">
        <f>'Section 15 data'!$L$30</f>
        <v>13.078134371384348</v>
      </c>
      <c r="F14" s="822">
        <f t="shared" si="0"/>
        <v>2892.8320000000003</v>
      </c>
    </row>
    <row r="15" spans="2:6" ht="15" customHeight="1" x14ac:dyDescent="0.2">
      <c r="B15" s="78" t="s">
        <v>348</v>
      </c>
      <c r="C15" s="67">
        <f>'Section 15 data'!$J$31</f>
        <v>6.1529999999999996</v>
      </c>
      <c r="D15" s="85">
        <f>'Section 15 data'!$K$31</f>
        <v>129.73400000000001</v>
      </c>
      <c r="E15" s="205">
        <f>'Section 15 data'!$L$31</f>
        <v>107.43942764865476</v>
      </c>
      <c r="F15" s="822">
        <f t="shared" si="0"/>
        <v>135.887</v>
      </c>
    </row>
    <row r="16" spans="2:6" ht="15" customHeight="1" x14ac:dyDescent="0.2">
      <c r="B16" s="78" t="s">
        <v>270</v>
      </c>
      <c r="C16" s="67">
        <f>'Section 15 data'!$J$32</f>
        <v>3.472</v>
      </c>
      <c r="D16" s="85">
        <f>'Section 15 data'!$K$32</f>
        <v>62.966999999999999</v>
      </c>
      <c r="E16" s="205">
        <f>'Section 15 data'!$L$32</f>
        <v>83.223317364211283</v>
      </c>
      <c r="F16" s="822">
        <f t="shared" si="0"/>
        <v>66.438999999999993</v>
      </c>
    </row>
    <row r="17" spans="2:6" ht="15" customHeight="1" x14ac:dyDescent="0.2">
      <c r="B17" s="86" t="s">
        <v>80</v>
      </c>
      <c r="C17" s="87">
        <f>'Section 15 data'!$J$8</f>
        <v>1677.8589999999999</v>
      </c>
      <c r="D17" s="87">
        <f>'Section 15 data'!$K$8</f>
        <v>10778.144</v>
      </c>
      <c r="E17" s="321">
        <f>'Section 15 data'!$L$8</f>
        <v>5.8904734254558937</v>
      </c>
      <c r="F17" s="87">
        <f t="shared" si="0"/>
        <v>12456.003000000001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2F1F6A-A563-4A04-9AE5-C405C71F8F6A}">
            <xm:f>IF($E8&gt;Sheet1!$F$4,1,)</xm:f>
            <x14:dxf>
              <numFmt numFmtId="173" formatCode="&quot;&lt; 1&quot;"/>
            </x14:dxf>
          </x14:cfRule>
          <xm:sqref>C8:D17 F8:F17</xm:sqref>
        </x14:conditionalFormatting>
        <x14:conditionalFormatting xmlns:xm="http://schemas.microsoft.com/office/excel/2006/main">
          <x14:cfRule type="expression" priority="1" id="{D57A21DC-E1B4-4AAF-945D-12751F3CDF69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T62"/>
  <sheetViews>
    <sheetView topLeftCell="F1"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</cols>
  <sheetData>
    <row r="2" spans="1:20" ht="13.5" thickBot="1" x14ac:dyDescent="0.25"/>
    <row r="3" spans="1:20" x14ac:dyDescent="0.2">
      <c r="A3" s="278"/>
      <c r="B3" s="1006" t="s">
        <v>482</v>
      </c>
      <c r="C3" s="1007"/>
      <c r="D3" s="1007"/>
      <c r="E3" s="1007"/>
      <c r="F3" s="1008"/>
      <c r="H3" s="1006" t="s">
        <v>482</v>
      </c>
      <c r="I3" s="1009"/>
      <c r="J3" s="1009"/>
      <c r="K3" s="1009"/>
      <c r="L3" s="1009"/>
      <c r="M3" s="1009"/>
      <c r="N3" s="1010"/>
      <c r="P3" s="1006" t="s">
        <v>482</v>
      </c>
      <c r="Q3" s="1007"/>
      <c r="R3" s="1007"/>
      <c r="S3" s="1007"/>
      <c r="T3" s="1008"/>
    </row>
    <row r="4" spans="1:20" ht="13.5" thickBot="1" x14ac:dyDescent="0.25">
      <c r="A4" s="278"/>
      <c r="B4" s="286" t="s">
        <v>78</v>
      </c>
      <c r="C4" s="287" t="s">
        <v>379</v>
      </c>
      <c r="D4" s="287" t="s">
        <v>481</v>
      </c>
      <c r="E4" s="290" t="s">
        <v>479</v>
      </c>
      <c r="F4" s="288" t="s">
        <v>378</v>
      </c>
      <c r="H4" s="289" t="s">
        <v>309</v>
      </c>
      <c r="I4" s="290" t="s">
        <v>379</v>
      </c>
      <c r="J4" s="287" t="s">
        <v>481</v>
      </c>
      <c r="K4" s="290" t="s">
        <v>82</v>
      </c>
      <c r="L4" s="290" t="s">
        <v>310</v>
      </c>
      <c r="M4" s="290" t="s">
        <v>479</v>
      </c>
      <c r="N4" s="291" t="s">
        <v>378</v>
      </c>
      <c r="P4" s="286" t="s">
        <v>486</v>
      </c>
      <c r="Q4" s="287" t="s">
        <v>379</v>
      </c>
      <c r="R4" s="287" t="s">
        <v>481</v>
      </c>
      <c r="S4" s="290" t="s">
        <v>479</v>
      </c>
      <c r="T4" s="288" t="s">
        <v>378</v>
      </c>
    </row>
    <row r="5" spans="1:20" x14ac:dyDescent="0.2">
      <c r="A5" s="278"/>
      <c r="B5" s="304" t="s">
        <v>92</v>
      </c>
      <c r="C5" s="305">
        <v>2013</v>
      </c>
      <c r="D5" s="294">
        <v>26375.967000000001</v>
      </c>
      <c r="E5" s="334"/>
      <c r="F5" s="342"/>
      <c r="G5" s="326"/>
      <c r="H5" s="337" t="s">
        <v>92</v>
      </c>
      <c r="I5" s="305">
        <v>2013</v>
      </c>
      <c r="J5" s="281">
        <v>62706.601000000002</v>
      </c>
      <c r="K5" s="281">
        <v>2.47371489657557</v>
      </c>
      <c r="L5" s="294">
        <f t="shared" ref="L5:L15" si="0">(K5*J5)/100</f>
        <v>1551.1825300732055</v>
      </c>
      <c r="M5" s="334"/>
      <c r="N5" s="342"/>
      <c r="O5" s="326"/>
      <c r="P5" s="337" t="s">
        <v>92</v>
      </c>
      <c r="Q5" s="305">
        <v>2013</v>
      </c>
      <c r="R5" s="294">
        <f>D5+J5</f>
        <v>89082.567999999999</v>
      </c>
      <c r="S5" s="334"/>
      <c r="T5" s="342"/>
    </row>
    <row r="6" spans="1:20" x14ac:dyDescent="0.2">
      <c r="A6" s="278"/>
      <c r="B6" s="292"/>
      <c r="C6" s="293">
        <v>2017</v>
      </c>
      <c r="D6" s="284">
        <v>26128.664000000001</v>
      </c>
      <c r="E6" s="335"/>
      <c r="F6" s="343"/>
      <c r="G6" s="326"/>
      <c r="H6" s="338"/>
      <c r="I6" s="293">
        <v>2017</v>
      </c>
      <c r="J6" s="282">
        <v>59600.669000000002</v>
      </c>
      <c r="K6" s="282">
        <v>2.500954617250859</v>
      </c>
      <c r="L6" s="284">
        <f t="shared" si="0"/>
        <v>1490.5856832679015</v>
      </c>
      <c r="M6" s="335"/>
      <c r="N6" s="343"/>
      <c r="O6" s="326"/>
      <c r="P6" s="338"/>
      <c r="Q6" s="293">
        <v>2017</v>
      </c>
      <c r="R6" s="284">
        <f t="shared" ref="R6:R15" si="1">D6+J6</f>
        <v>85729.332999999999</v>
      </c>
      <c r="S6" s="335"/>
      <c r="T6" s="343"/>
    </row>
    <row r="7" spans="1:20" x14ac:dyDescent="0.2">
      <c r="A7" s="278"/>
      <c r="B7" s="292"/>
      <c r="C7" s="293">
        <v>2022</v>
      </c>
      <c r="D7" s="284">
        <v>26440.49</v>
      </c>
      <c r="E7" s="335"/>
      <c r="F7" s="343"/>
      <c r="G7" s="326"/>
      <c r="H7" s="338"/>
      <c r="I7" s="293">
        <v>2022</v>
      </c>
      <c r="J7" s="282">
        <v>53334.332999999999</v>
      </c>
      <c r="K7" s="282">
        <v>2.6196663645426534</v>
      </c>
      <c r="L7" s="284">
        <f t="shared" si="0"/>
        <v>1397.1815823541726</v>
      </c>
      <c r="M7" s="335"/>
      <c r="N7" s="343"/>
      <c r="O7" s="326"/>
      <c r="P7" s="338"/>
      <c r="Q7" s="293">
        <v>2022</v>
      </c>
      <c r="R7" s="284">
        <f t="shared" si="1"/>
        <v>79774.823000000004</v>
      </c>
      <c r="S7" s="335"/>
      <c r="T7" s="343"/>
    </row>
    <row r="8" spans="1:20" x14ac:dyDescent="0.2">
      <c r="A8" s="278"/>
      <c r="B8" s="292"/>
      <c r="C8" s="293">
        <v>2027</v>
      </c>
      <c r="D8" s="284">
        <v>26570.198</v>
      </c>
      <c r="E8" s="335"/>
      <c r="F8" s="343"/>
      <c r="G8" s="326"/>
      <c r="H8" s="338"/>
      <c r="I8" s="293">
        <v>2027</v>
      </c>
      <c r="J8" s="282">
        <v>47285.254000000001</v>
      </c>
      <c r="K8" s="282">
        <v>2.8589857797397764</v>
      </c>
      <c r="L8" s="284">
        <f t="shared" si="0"/>
        <v>1351.8786877738339</v>
      </c>
      <c r="M8" s="335"/>
      <c r="N8" s="343"/>
      <c r="O8" s="326"/>
      <c r="P8" s="338"/>
      <c r="Q8" s="293">
        <v>2027</v>
      </c>
      <c r="R8" s="284">
        <f t="shared" si="1"/>
        <v>73855.452000000005</v>
      </c>
      <c r="S8" s="335"/>
      <c r="T8" s="343"/>
    </row>
    <row r="9" spans="1:20" x14ac:dyDescent="0.2">
      <c r="A9" s="278"/>
      <c r="B9" s="292"/>
      <c r="C9" s="293">
        <v>2032</v>
      </c>
      <c r="D9" s="284">
        <v>26447.948</v>
      </c>
      <c r="E9" s="335"/>
      <c r="F9" s="343"/>
      <c r="G9" s="326"/>
      <c r="H9" s="338"/>
      <c r="I9" s="293">
        <v>2032</v>
      </c>
      <c r="J9" s="282">
        <v>39761.31</v>
      </c>
      <c r="K9" s="282">
        <v>3.2438098344376529</v>
      </c>
      <c r="L9" s="284">
        <f t="shared" si="0"/>
        <v>1289.7812840812419</v>
      </c>
      <c r="M9" s="335"/>
      <c r="N9" s="343"/>
      <c r="O9" s="326"/>
      <c r="P9" s="338"/>
      <c r="Q9" s="293">
        <v>2032</v>
      </c>
      <c r="R9" s="284">
        <f t="shared" si="1"/>
        <v>66209.258000000002</v>
      </c>
      <c r="S9" s="335"/>
      <c r="T9" s="343"/>
    </row>
    <row r="10" spans="1:20" x14ac:dyDescent="0.2">
      <c r="A10" s="278"/>
      <c r="B10" s="292"/>
      <c r="C10" s="293">
        <v>2037</v>
      </c>
      <c r="D10" s="284">
        <v>26500.928</v>
      </c>
      <c r="E10" s="335"/>
      <c r="F10" s="343"/>
      <c r="G10" s="326"/>
      <c r="H10" s="338"/>
      <c r="I10" s="293">
        <v>2037</v>
      </c>
      <c r="J10" s="282">
        <v>32244.127</v>
      </c>
      <c r="K10" s="282">
        <v>3.4808950878281357</v>
      </c>
      <c r="L10" s="284">
        <f>(K10*J10)/100</f>
        <v>1122.3842328560656</v>
      </c>
      <c r="M10" s="335"/>
      <c r="N10" s="343"/>
      <c r="O10" s="326"/>
      <c r="P10" s="338"/>
      <c r="Q10" s="293">
        <v>2037</v>
      </c>
      <c r="R10" s="284">
        <f>D10+J10</f>
        <v>58745.055</v>
      </c>
      <c r="S10" s="335"/>
      <c r="T10" s="343"/>
    </row>
    <row r="11" spans="1:20" x14ac:dyDescent="0.2">
      <c r="A11" s="278"/>
      <c r="B11" s="292"/>
      <c r="C11" s="293">
        <v>2042</v>
      </c>
      <c r="D11" s="284">
        <v>26593.453000000001</v>
      </c>
      <c r="E11" s="335"/>
      <c r="F11" s="343"/>
      <c r="G11" s="326"/>
      <c r="H11" s="338"/>
      <c r="I11" s="293">
        <v>2042</v>
      </c>
      <c r="J11" s="282">
        <v>27914.174999999999</v>
      </c>
      <c r="K11" s="282">
        <v>3.5224673521151053</v>
      </c>
      <c r="L11" s="284">
        <f>(K11*J11)/100</f>
        <v>983.26770098727661</v>
      </c>
      <c r="M11" s="335"/>
      <c r="N11" s="343"/>
      <c r="O11" s="326"/>
      <c r="P11" s="338"/>
      <c r="Q11" s="293">
        <v>2042</v>
      </c>
      <c r="R11" s="284">
        <f>D11+J11</f>
        <v>54507.627999999997</v>
      </c>
      <c r="S11" s="335"/>
      <c r="T11" s="343"/>
    </row>
    <row r="12" spans="1:20" x14ac:dyDescent="0.2">
      <c r="A12" s="278"/>
      <c r="B12" s="292"/>
      <c r="C12" s="293">
        <v>2047</v>
      </c>
      <c r="D12" s="284">
        <v>26693.448</v>
      </c>
      <c r="E12" s="335"/>
      <c r="F12" s="343"/>
      <c r="G12" s="326"/>
      <c r="H12" s="338"/>
      <c r="I12" s="293">
        <v>2047</v>
      </c>
      <c r="J12" s="282">
        <v>26133.159</v>
      </c>
      <c r="K12" s="282">
        <v>3.4243443184924591</v>
      </c>
      <c r="L12" s="284">
        <f>(K12*J12)/100</f>
        <v>894.8893454591007</v>
      </c>
      <c r="M12" s="335"/>
      <c r="N12" s="343"/>
      <c r="O12" s="326"/>
      <c r="P12" s="338"/>
      <c r="Q12" s="293">
        <v>2047</v>
      </c>
      <c r="R12" s="284">
        <f>D12+J12</f>
        <v>52826.607000000004</v>
      </c>
      <c r="S12" s="335"/>
      <c r="T12" s="343"/>
    </row>
    <row r="13" spans="1:20" x14ac:dyDescent="0.2">
      <c r="A13" s="278"/>
      <c r="B13" s="292"/>
      <c r="C13" s="293">
        <v>2052</v>
      </c>
      <c r="D13" s="284">
        <v>27161.638999999999</v>
      </c>
      <c r="E13" s="335"/>
      <c r="F13" s="343"/>
      <c r="G13" s="326"/>
      <c r="H13" s="338"/>
      <c r="I13" s="293">
        <v>2052</v>
      </c>
      <c r="J13" s="282">
        <v>26885.113000000001</v>
      </c>
      <c r="K13" s="282">
        <v>3.2069860509301522</v>
      </c>
      <c r="L13" s="284">
        <f>(K13*J13)/100</f>
        <v>862.20182368680912</v>
      </c>
      <c r="M13" s="335"/>
      <c r="N13" s="343"/>
      <c r="O13" s="326"/>
      <c r="P13" s="338"/>
      <c r="Q13" s="293">
        <v>2052</v>
      </c>
      <c r="R13" s="284">
        <f>D13+J13</f>
        <v>54046.752</v>
      </c>
      <c r="S13" s="335"/>
      <c r="T13" s="343"/>
    </row>
    <row r="14" spans="1:20" x14ac:dyDescent="0.2">
      <c r="A14" s="278"/>
      <c r="B14" s="292"/>
      <c r="C14" s="293">
        <v>2057</v>
      </c>
      <c r="D14" s="284">
        <v>28594.845000000001</v>
      </c>
      <c r="E14" s="335"/>
      <c r="F14" s="343"/>
      <c r="G14" s="326"/>
      <c r="H14" s="338"/>
      <c r="I14" s="293">
        <v>2057</v>
      </c>
      <c r="J14" s="282">
        <v>29157.617999999999</v>
      </c>
      <c r="K14" s="282">
        <v>2.9384090102122795</v>
      </c>
      <c r="L14" s="284">
        <f>(K14*J14)/100</f>
        <v>856.7700744752774</v>
      </c>
      <c r="M14" s="335"/>
      <c r="N14" s="343"/>
      <c r="O14" s="326"/>
      <c r="P14" s="338"/>
      <c r="Q14" s="293">
        <v>2057</v>
      </c>
      <c r="R14" s="284">
        <f>D14+J14</f>
        <v>57752.463000000003</v>
      </c>
      <c r="S14" s="335"/>
      <c r="T14" s="343"/>
    </row>
    <row r="15" spans="1:20" ht="13.5" thickBot="1" x14ac:dyDescent="0.25">
      <c r="A15" s="278"/>
      <c r="B15" s="297"/>
      <c r="C15" s="298">
        <v>2062</v>
      </c>
      <c r="D15" s="299">
        <v>27574.493999999999</v>
      </c>
      <c r="E15" s="336"/>
      <c r="F15" s="344"/>
      <c r="G15" s="326"/>
      <c r="H15" s="339"/>
      <c r="I15" s="298">
        <v>2062</v>
      </c>
      <c r="J15" s="340">
        <v>31400.401999999998</v>
      </c>
      <c r="K15" s="340">
        <v>2.666884410440916</v>
      </c>
      <c r="L15" s="299">
        <f t="shared" si="0"/>
        <v>837.41242575377748</v>
      </c>
      <c r="M15" s="336"/>
      <c r="N15" s="344"/>
      <c r="O15" s="326"/>
      <c r="P15" s="339"/>
      <c r="Q15" s="298">
        <v>2062</v>
      </c>
      <c r="R15" s="299">
        <f t="shared" si="1"/>
        <v>58974.895999999993</v>
      </c>
      <c r="S15" s="336"/>
      <c r="T15" s="344"/>
    </row>
    <row r="16" spans="1:20" x14ac:dyDescent="0.2">
      <c r="A16" s="278"/>
      <c r="B16" s="302"/>
      <c r="C16" s="303"/>
      <c r="D16" s="284"/>
      <c r="E16" s="284"/>
      <c r="F16" s="279"/>
      <c r="G16" s="326"/>
      <c r="H16" s="341"/>
      <c r="I16" s="303"/>
      <c r="J16" s="284"/>
      <c r="K16" s="284"/>
      <c r="L16" s="284"/>
      <c r="M16" s="284"/>
      <c r="N16" s="279"/>
      <c r="O16" s="326"/>
      <c r="P16" s="341"/>
      <c r="Q16" s="303"/>
      <c r="R16" s="284"/>
      <c r="S16" s="284"/>
      <c r="T16" s="279"/>
    </row>
    <row r="17" spans="1:20" ht="13.5" thickBot="1" x14ac:dyDescent="0.25"/>
    <row r="18" spans="1:20" x14ac:dyDescent="0.2">
      <c r="A18" s="278"/>
      <c r="B18" s="1006" t="s">
        <v>483</v>
      </c>
      <c r="C18" s="1011"/>
      <c r="D18" s="1011"/>
      <c r="E18" s="1011"/>
      <c r="F18" s="1012"/>
      <c r="H18" s="1006" t="s">
        <v>483</v>
      </c>
      <c r="I18" s="1009"/>
      <c r="J18" s="1009"/>
      <c r="K18" s="1009"/>
      <c r="L18" s="1009"/>
      <c r="M18" s="1009"/>
      <c r="N18" s="1010"/>
      <c r="P18" s="1006" t="s">
        <v>483</v>
      </c>
      <c r="Q18" s="1011"/>
      <c r="R18" s="1011"/>
      <c r="S18" s="1011"/>
      <c r="T18" s="1012"/>
    </row>
    <row r="19" spans="1:20" ht="13.5" thickBot="1" x14ac:dyDescent="0.25">
      <c r="A19" s="278"/>
      <c r="B19" s="286" t="s">
        <v>78</v>
      </c>
      <c r="C19" s="287" t="s">
        <v>480</v>
      </c>
      <c r="D19" s="287" t="s">
        <v>377</v>
      </c>
      <c r="E19" s="290" t="s">
        <v>479</v>
      </c>
      <c r="F19" s="288" t="s">
        <v>378</v>
      </c>
      <c r="H19" s="289" t="s">
        <v>309</v>
      </c>
      <c r="I19" s="287" t="s">
        <v>480</v>
      </c>
      <c r="J19" s="287" t="s">
        <v>377</v>
      </c>
      <c r="K19" s="290" t="s">
        <v>82</v>
      </c>
      <c r="L19" s="290" t="s">
        <v>310</v>
      </c>
      <c r="M19" s="290" t="s">
        <v>479</v>
      </c>
      <c r="N19" s="291" t="s">
        <v>378</v>
      </c>
      <c r="P19" s="286" t="s">
        <v>486</v>
      </c>
      <c r="Q19" s="287" t="s">
        <v>480</v>
      </c>
      <c r="R19" s="287" t="s">
        <v>377</v>
      </c>
      <c r="S19" s="290" t="s">
        <v>479</v>
      </c>
      <c r="T19" s="288" t="s">
        <v>378</v>
      </c>
    </row>
    <row r="20" spans="1:20" x14ac:dyDescent="0.2">
      <c r="A20" s="278"/>
      <c r="B20" s="304" t="s">
        <v>92</v>
      </c>
      <c r="C20" s="305" t="s">
        <v>332</v>
      </c>
      <c r="D20" s="294">
        <v>25206.851999999999</v>
      </c>
      <c r="E20" s="296">
        <v>4</v>
      </c>
      <c r="F20" s="332">
        <f>D20*E20</f>
        <v>100827.408</v>
      </c>
      <c r="H20" s="304" t="s">
        <v>92</v>
      </c>
      <c r="I20" s="305" t="s">
        <v>332</v>
      </c>
      <c r="J20" s="295">
        <v>60358.002999999997</v>
      </c>
      <c r="K20" s="295">
        <v>2.4778473672803769</v>
      </c>
      <c r="L20" s="296">
        <f t="shared" ref="L20:L30" si="2">(K20*J20)/100</f>
        <v>1495.5791882785106</v>
      </c>
      <c r="M20" s="296">
        <v>4</v>
      </c>
      <c r="N20" s="332">
        <f>J20*M20</f>
        <v>241432.01199999999</v>
      </c>
      <c r="P20" s="304" t="s">
        <v>92</v>
      </c>
      <c r="Q20" s="305" t="s">
        <v>332</v>
      </c>
      <c r="R20" s="294">
        <f>D20+J20</f>
        <v>85564.854999999996</v>
      </c>
      <c r="S20" s="296">
        <v>4</v>
      </c>
      <c r="T20" s="332">
        <f>R20*S20</f>
        <v>342259.42</v>
      </c>
    </row>
    <row r="21" spans="1:20" x14ac:dyDescent="0.2">
      <c r="A21" s="278"/>
      <c r="B21" s="292"/>
      <c r="C21" s="293" t="s">
        <v>222</v>
      </c>
      <c r="D21" s="284">
        <v>25788.648000000001</v>
      </c>
      <c r="E21" s="285">
        <v>5</v>
      </c>
      <c r="F21" s="283">
        <f t="shared" ref="F21:F30" si="3">D21*E21</f>
        <v>128943.24</v>
      </c>
      <c r="H21" s="292"/>
      <c r="I21" s="293" t="s">
        <v>222</v>
      </c>
      <c r="J21" s="280">
        <v>56343.733999999997</v>
      </c>
      <c r="K21" s="280">
        <v>2.4858089502887339</v>
      </c>
      <c r="L21" s="285">
        <f t="shared" si="2"/>
        <v>1400.5975826988765</v>
      </c>
      <c r="M21" s="285">
        <v>5</v>
      </c>
      <c r="N21" s="283">
        <f t="shared" ref="N21:N30" si="4">J21*M21</f>
        <v>281718.67</v>
      </c>
      <c r="P21" s="292"/>
      <c r="Q21" s="293" t="s">
        <v>222</v>
      </c>
      <c r="R21" s="284">
        <f t="shared" ref="R21:R30" si="5">D21+J21</f>
        <v>82132.381999999998</v>
      </c>
      <c r="S21" s="285">
        <v>5</v>
      </c>
      <c r="T21" s="283">
        <f t="shared" ref="T21:T30" si="6">R21*S21</f>
        <v>410661.91</v>
      </c>
    </row>
    <row r="22" spans="1:20" x14ac:dyDescent="0.2">
      <c r="A22" s="278"/>
      <c r="B22" s="292"/>
      <c r="C22" s="293" t="s">
        <v>225</v>
      </c>
      <c r="D22" s="284">
        <v>25916.34</v>
      </c>
      <c r="E22" s="285">
        <v>5</v>
      </c>
      <c r="F22" s="283">
        <f t="shared" si="3"/>
        <v>129581.7</v>
      </c>
      <c r="H22" s="292"/>
      <c r="I22" s="293" t="s">
        <v>225</v>
      </c>
      <c r="J22" s="280">
        <v>49719.667999999998</v>
      </c>
      <c r="K22" s="280">
        <v>2.694468960883047</v>
      </c>
      <c r="L22" s="285">
        <f t="shared" si="2"/>
        <v>1339.6810217141008</v>
      </c>
      <c r="M22" s="285">
        <v>5</v>
      </c>
      <c r="N22" s="283">
        <f t="shared" si="4"/>
        <v>248598.34</v>
      </c>
      <c r="P22" s="292"/>
      <c r="Q22" s="293" t="s">
        <v>225</v>
      </c>
      <c r="R22" s="284">
        <f t="shared" si="5"/>
        <v>75636.008000000002</v>
      </c>
      <c r="S22" s="285">
        <v>5</v>
      </c>
      <c r="T22" s="283">
        <f t="shared" si="6"/>
        <v>378180.04000000004</v>
      </c>
    </row>
    <row r="23" spans="1:20" x14ac:dyDescent="0.2">
      <c r="A23" s="278"/>
      <c r="B23" s="292"/>
      <c r="C23" s="293" t="s">
        <v>226</v>
      </c>
      <c r="D23" s="284">
        <v>25851.19</v>
      </c>
      <c r="E23" s="285">
        <v>5</v>
      </c>
      <c r="F23" s="283">
        <f t="shared" si="3"/>
        <v>129255.95</v>
      </c>
      <c r="H23" s="292"/>
      <c r="I23" s="293" t="s">
        <v>226</v>
      </c>
      <c r="J23" s="280">
        <v>42418.332999999999</v>
      </c>
      <c r="K23" s="280">
        <v>2.99754067194629</v>
      </c>
      <c r="L23" s="285">
        <f t="shared" si="2"/>
        <v>1271.5067840366148</v>
      </c>
      <c r="M23" s="285">
        <v>5</v>
      </c>
      <c r="N23" s="283">
        <f t="shared" si="4"/>
        <v>212091.66499999998</v>
      </c>
      <c r="P23" s="292"/>
      <c r="Q23" s="293" t="s">
        <v>226</v>
      </c>
      <c r="R23" s="284">
        <f t="shared" si="5"/>
        <v>68269.523000000001</v>
      </c>
      <c r="S23" s="285">
        <v>5</v>
      </c>
      <c r="T23" s="283">
        <f t="shared" si="6"/>
        <v>341347.61499999999</v>
      </c>
    </row>
    <row r="24" spans="1:20" x14ac:dyDescent="0.2">
      <c r="A24" s="278"/>
      <c r="B24" s="292"/>
      <c r="C24" s="293" t="s">
        <v>227</v>
      </c>
      <c r="D24" s="284">
        <v>25799.938999999998</v>
      </c>
      <c r="E24" s="285">
        <v>5</v>
      </c>
      <c r="F24" s="283">
        <f t="shared" si="3"/>
        <v>128999.69499999999</v>
      </c>
      <c r="H24" s="292"/>
      <c r="I24" s="293" t="s">
        <v>227</v>
      </c>
      <c r="J24" s="280">
        <v>35035.298999999999</v>
      </c>
      <c r="K24" s="280">
        <v>3.2786599466385384</v>
      </c>
      <c r="L24" s="285">
        <f t="shared" si="2"/>
        <v>1148.6883154980524</v>
      </c>
      <c r="M24" s="285">
        <v>5</v>
      </c>
      <c r="N24" s="283">
        <f t="shared" si="4"/>
        <v>175176.495</v>
      </c>
      <c r="P24" s="292"/>
      <c r="Q24" s="293" t="s">
        <v>227</v>
      </c>
      <c r="R24" s="284">
        <f t="shared" si="5"/>
        <v>60835.237999999998</v>
      </c>
      <c r="S24" s="285">
        <v>5</v>
      </c>
      <c r="T24" s="283">
        <f t="shared" si="6"/>
        <v>304176.19</v>
      </c>
    </row>
    <row r="25" spans="1:20" x14ac:dyDescent="0.2">
      <c r="A25" s="278"/>
      <c r="B25" s="292"/>
      <c r="C25" s="293" t="s">
        <v>228</v>
      </c>
      <c r="D25" s="284">
        <v>25945.727999999999</v>
      </c>
      <c r="E25" s="285">
        <v>5</v>
      </c>
      <c r="F25" s="283">
        <f>D25*E25</f>
        <v>129728.64</v>
      </c>
      <c r="H25" s="292"/>
      <c r="I25" s="293" t="s">
        <v>228</v>
      </c>
      <c r="J25" s="280">
        <v>29809.145</v>
      </c>
      <c r="K25" s="280">
        <v>3.3486614035387512</v>
      </c>
      <c r="L25" s="285">
        <f>(K25*J25)/100</f>
        <v>998.20733333990154</v>
      </c>
      <c r="M25" s="285">
        <v>5</v>
      </c>
      <c r="N25" s="283">
        <f>J25*M25</f>
        <v>149045.72500000001</v>
      </c>
      <c r="P25" s="292"/>
      <c r="Q25" s="293" t="s">
        <v>228</v>
      </c>
      <c r="R25" s="284">
        <f>D25+J25</f>
        <v>55754.873</v>
      </c>
      <c r="S25" s="285">
        <v>5</v>
      </c>
      <c r="T25" s="283">
        <f>R25*S25</f>
        <v>278774.36499999999</v>
      </c>
    </row>
    <row r="26" spans="1:20" x14ac:dyDescent="0.2">
      <c r="A26" s="278"/>
      <c r="B26" s="292"/>
      <c r="C26" s="293" t="s">
        <v>333</v>
      </c>
      <c r="D26" s="284">
        <v>26005.738000000001</v>
      </c>
      <c r="E26" s="285">
        <v>5</v>
      </c>
      <c r="F26" s="283">
        <f>D26*E26</f>
        <v>130028.69</v>
      </c>
      <c r="H26" s="292"/>
      <c r="I26" s="293" t="s">
        <v>333</v>
      </c>
      <c r="J26" s="280">
        <v>26772.332999999999</v>
      </c>
      <c r="K26" s="280">
        <v>3.3947765787834729</v>
      </c>
      <c r="L26" s="285">
        <f>(K26*J26)/100</f>
        <v>908.86089027791866</v>
      </c>
      <c r="M26" s="285">
        <v>5</v>
      </c>
      <c r="N26" s="283">
        <f>J26*M26</f>
        <v>133861.66499999998</v>
      </c>
      <c r="P26" s="292"/>
      <c r="Q26" s="293" t="s">
        <v>333</v>
      </c>
      <c r="R26" s="284">
        <f>D26+J26</f>
        <v>52778.070999999996</v>
      </c>
      <c r="S26" s="285">
        <v>5</v>
      </c>
      <c r="T26" s="283">
        <f>R26*S26</f>
        <v>263890.35499999998</v>
      </c>
    </row>
    <row r="27" spans="1:20" x14ac:dyDescent="0.2">
      <c r="A27" s="278"/>
      <c r="B27" s="292"/>
      <c r="C27" s="293" t="s">
        <v>334</v>
      </c>
      <c r="D27" s="284">
        <v>26504.087</v>
      </c>
      <c r="E27" s="285">
        <v>5</v>
      </c>
      <c r="F27" s="283">
        <f>D27*E27</f>
        <v>132520.435</v>
      </c>
      <c r="H27" s="292"/>
      <c r="I27" s="293" t="s">
        <v>334</v>
      </c>
      <c r="J27" s="280">
        <v>26468.185000000001</v>
      </c>
      <c r="K27" s="280">
        <v>3.2433207572337075</v>
      </c>
      <c r="L27" s="285">
        <f>(K27*J27)/100</f>
        <v>858.44813816801866</v>
      </c>
      <c r="M27" s="285">
        <v>5</v>
      </c>
      <c r="N27" s="283">
        <f>J27*M27</f>
        <v>132340.92500000002</v>
      </c>
      <c r="P27" s="292"/>
      <c r="Q27" s="293" t="s">
        <v>334</v>
      </c>
      <c r="R27" s="284">
        <f>D27+J27</f>
        <v>52972.271999999997</v>
      </c>
      <c r="S27" s="285">
        <v>5</v>
      </c>
      <c r="T27" s="283">
        <f>R27*S27</f>
        <v>264861.36</v>
      </c>
    </row>
    <row r="28" spans="1:20" x14ac:dyDescent="0.2">
      <c r="A28" s="278"/>
      <c r="B28" s="292"/>
      <c r="C28" s="293" t="s">
        <v>231</v>
      </c>
      <c r="D28" s="284">
        <v>27377.896000000001</v>
      </c>
      <c r="E28" s="285">
        <v>5</v>
      </c>
      <c r="F28" s="283">
        <f>D28*E28</f>
        <v>136889.48000000001</v>
      </c>
      <c r="H28" s="292"/>
      <c r="I28" s="293" t="s">
        <v>231</v>
      </c>
      <c r="J28" s="280">
        <v>28290.923999999999</v>
      </c>
      <c r="K28" s="280">
        <v>2.9939203892655564</v>
      </c>
      <c r="L28" s="285">
        <f>(K28*J28)/100</f>
        <v>847.00774194762266</v>
      </c>
      <c r="M28" s="285">
        <v>5</v>
      </c>
      <c r="N28" s="283">
        <f>J28*M28</f>
        <v>141454.62</v>
      </c>
      <c r="P28" s="292"/>
      <c r="Q28" s="293" t="s">
        <v>231</v>
      </c>
      <c r="R28" s="284">
        <f>D28+J28</f>
        <v>55668.82</v>
      </c>
      <c r="S28" s="285">
        <v>5</v>
      </c>
      <c r="T28" s="283">
        <f>R28*S28</f>
        <v>278344.09999999998</v>
      </c>
    </row>
    <row r="29" spans="1:20" x14ac:dyDescent="0.2">
      <c r="A29" s="278"/>
      <c r="B29" s="292"/>
      <c r="C29" s="293" t="s">
        <v>232</v>
      </c>
      <c r="D29" s="284">
        <v>28016.442999999999</v>
      </c>
      <c r="E29" s="285">
        <v>5</v>
      </c>
      <c r="F29" s="283">
        <f>D29*E29</f>
        <v>140082.215</v>
      </c>
      <c r="H29" s="292"/>
      <c r="I29" s="293" t="s">
        <v>232</v>
      </c>
      <c r="J29" s="280">
        <v>30517.106</v>
      </c>
      <c r="K29" s="280">
        <v>2.7124868799663289</v>
      </c>
      <c r="L29" s="285">
        <f>(K29*J29)/100</f>
        <v>827.77249639541742</v>
      </c>
      <c r="M29" s="285">
        <v>5</v>
      </c>
      <c r="N29" s="283">
        <f>J29*M29</f>
        <v>152585.53</v>
      </c>
      <c r="P29" s="292"/>
      <c r="Q29" s="293" t="s">
        <v>232</v>
      </c>
      <c r="R29" s="284">
        <f>D29+J29</f>
        <v>58533.548999999999</v>
      </c>
      <c r="S29" s="285">
        <v>5</v>
      </c>
      <c r="T29" s="283">
        <f>R29*S29</f>
        <v>292667.745</v>
      </c>
    </row>
    <row r="30" spans="1:20" ht="13.5" thickBot="1" x14ac:dyDescent="0.25">
      <c r="A30" s="278"/>
      <c r="B30" s="297"/>
      <c r="C30" s="298" t="s">
        <v>233</v>
      </c>
      <c r="D30" s="299">
        <v>28408.289000000001</v>
      </c>
      <c r="E30" s="301">
        <v>5</v>
      </c>
      <c r="F30" s="333">
        <f t="shared" si="3"/>
        <v>142041.44500000001</v>
      </c>
      <c r="H30" s="297"/>
      <c r="I30" s="298" t="s">
        <v>233</v>
      </c>
      <c r="J30" s="300">
        <v>33765.203000000001</v>
      </c>
      <c r="K30" s="300">
        <v>2.4572213457943408</v>
      </c>
      <c r="L30" s="301">
        <f t="shared" si="2"/>
        <v>829.68577556679111</v>
      </c>
      <c r="M30" s="301">
        <v>5</v>
      </c>
      <c r="N30" s="333">
        <f t="shared" si="4"/>
        <v>168826.01500000001</v>
      </c>
      <c r="P30" s="297"/>
      <c r="Q30" s="298" t="s">
        <v>233</v>
      </c>
      <c r="R30" s="299">
        <f t="shared" si="5"/>
        <v>62173.491999999998</v>
      </c>
      <c r="S30" s="301">
        <v>5</v>
      </c>
      <c r="T30" s="333">
        <f t="shared" si="6"/>
        <v>310867.45999999996</v>
      </c>
    </row>
    <row r="31" spans="1:20" x14ac:dyDescent="0.2">
      <c r="A31" s="278"/>
      <c r="B31" s="302"/>
      <c r="C31" s="303"/>
      <c r="D31" s="284"/>
      <c r="E31" s="285"/>
      <c r="F31" s="279"/>
      <c r="H31" s="302"/>
      <c r="I31" s="303"/>
      <c r="J31" s="285"/>
      <c r="K31" s="285"/>
      <c r="L31" s="285"/>
      <c r="M31" s="285"/>
      <c r="N31" s="279"/>
      <c r="P31" s="302"/>
      <c r="Q31" s="303"/>
      <c r="R31" s="284"/>
      <c r="S31" s="285"/>
      <c r="T31" s="279"/>
    </row>
    <row r="32" spans="1:20" ht="13.5" thickBot="1" x14ac:dyDescent="0.25"/>
    <row r="33" spans="1:20" x14ac:dyDescent="0.2">
      <c r="A33" s="278"/>
      <c r="B33" s="1006" t="s">
        <v>484</v>
      </c>
      <c r="C33" s="1007"/>
      <c r="D33" s="1007"/>
      <c r="E33" s="1007"/>
      <c r="F33" s="1008"/>
      <c r="H33" s="1006" t="s">
        <v>484</v>
      </c>
      <c r="I33" s="1009"/>
      <c r="J33" s="1009"/>
      <c r="K33" s="1009"/>
      <c r="L33" s="1009"/>
      <c r="M33" s="1009"/>
      <c r="N33" s="1010"/>
      <c r="P33" s="1006" t="s">
        <v>484</v>
      </c>
      <c r="Q33" s="1007"/>
      <c r="R33" s="1007"/>
      <c r="S33" s="1007"/>
      <c r="T33" s="1008"/>
    </row>
    <row r="34" spans="1:20" ht="13.5" thickBot="1" x14ac:dyDescent="0.25">
      <c r="A34" s="278"/>
      <c r="B34" s="286" t="s">
        <v>78</v>
      </c>
      <c r="C34" s="287" t="s">
        <v>480</v>
      </c>
      <c r="D34" s="287" t="s">
        <v>377</v>
      </c>
      <c r="E34" s="290" t="s">
        <v>479</v>
      </c>
      <c r="F34" s="288" t="s">
        <v>378</v>
      </c>
      <c r="H34" s="289" t="s">
        <v>309</v>
      </c>
      <c r="I34" s="287" t="s">
        <v>480</v>
      </c>
      <c r="J34" s="287" t="s">
        <v>377</v>
      </c>
      <c r="K34" s="290" t="s">
        <v>82</v>
      </c>
      <c r="L34" s="290" t="s">
        <v>310</v>
      </c>
      <c r="M34" s="290" t="s">
        <v>479</v>
      </c>
      <c r="N34" s="291" t="s">
        <v>378</v>
      </c>
      <c r="P34" s="286" t="s">
        <v>486</v>
      </c>
      <c r="Q34" s="287" t="s">
        <v>480</v>
      </c>
      <c r="R34" s="287" t="s">
        <v>377</v>
      </c>
      <c r="S34" s="290" t="s">
        <v>479</v>
      </c>
      <c r="T34" s="288" t="s">
        <v>378</v>
      </c>
    </row>
    <row r="35" spans="1:20" x14ac:dyDescent="0.2">
      <c r="A35" s="278"/>
      <c r="B35" s="304" t="s">
        <v>92</v>
      </c>
      <c r="C35" s="305" t="s">
        <v>332</v>
      </c>
      <c r="D35" s="294">
        <v>1218.615</v>
      </c>
      <c r="E35" s="296">
        <v>4</v>
      </c>
      <c r="F35" s="332">
        <f>D35*E35</f>
        <v>4874.46</v>
      </c>
      <c r="H35" s="304" t="s">
        <v>92</v>
      </c>
      <c r="I35" s="305" t="s">
        <v>332</v>
      </c>
      <c r="J35" s="295">
        <v>2181.4549999999999</v>
      </c>
      <c r="K35" s="295">
        <v>2.2712903245285849</v>
      </c>
      <c r="L35" s="296">
        <f t="shared" ref="L35:L45" si="7">(K35*J35)/100</f>
        <v>49.547176348945044</v>
      </c>
      <c r="M35" s="296">
        <v>4</v>
      </c>
      <c r="N35" s="332">
        <f>J35*M35</f>
        <v>8725.82</v>
      </c>
      <c r="P35" s="304" t="s">
        <v>92</v>
      </c>
      <c r="Q35" s="305" t="s">
        <v>332</v>
      </c>
      <c r="R35" s="294">
        <f>D35+J35</f>
        <v>3400.0699999999997</v>
      </c>
      <c r="S35" s="296">
        <v>4</v>
      </c>
      <c r="T35" s="332">
        <f>R35*S35</f>
        <v>13600.279999999999</v>
      </c>
    </row>
    <row r="36" spans="1:20" x14ac:dyDescent="0.2">
      <c r="A36" s="278"/>
      <c r="B36" s="292"/>
      <c r="C36" s="293" t="s">
        <v>222</v>
      </c>
      <c r="D36" s="284">
        <v>1245.604</v>
      </c>
      <c r="E36" s="285">
        <v>5</v>
      </c>
      <c r="F36" s="283">
        <f t="shared" ref="F36:F45" si="8">D36*E36</f>
        <v>6228.02</v>
      </c>
      <c r="H36" s="292"/>
      <c r="I36" s="293" t="s">
        <v>222</v>
      </c>
      <c r="J36" s="280">
        <v>2035.2639999999999</v>
      </c>
      <c r="K36" s="280">
        <v>2.4124181438927663</v>
      </c>
      <c r="L36" s="285">
        <f t="shared" si="7"/>
        <v>49.099078012117673</v>
      </c>
      <c r="M36" s="285">
        <v>5</v>
      </c>
      <c r="N36" s="283">
        <f t="shared" ref="N36:N45" si="9">J36*M36</f>
        <v>10176.32</v>
      </c>
      <c r="P36" s="292"/>
      <c r="Q36" s="293" t="s">
        <v>222</v>
      </c>
      <c r="R36" s="284">
        <f t="shared" ref="R36:R45" si="10">D36+J36</f>
        <v>3280.8679999999999</v>
      </c>
      <c r="S36" s="285">
        <v>5</v>
      </c>
      <c r="T36" s="283">
        <f t="shared" ref="T36:T45" si="11">R36*S36</f>
        <v>16404.34</v>
      </c>
    </row>
    <row r="37" spans="1:20" x14ac:dyDescent="0.2">
      <c r="A37" s="278"/>
      <c r="B37" s="292"/>
      <c r="C37" s="293" t="s">
        <v>225</v>
      </c>
      <c r="D37" s="284">
        <v>1158.376</v>
      </c>
      <c r="E37" s="285">
        <v>5</v>
      </c>
      <c r="F37" s="283">
        <f t="shared" si="8"/>
        <v>5791.88</v>
      </c>
      <c r="H37" s="292"/>
      <c r="I37" s="293" t="s">
        <v>225</v>
      </c>
      <c r="J37" s="280">
        <v>1746.633</v>
      </c>
      <c r="K37" s="280">
        <v>2.6934111673133252</v>
      </c>
      <c r="L37" s="285">
        <f t="shared" si="7"/>
        <v>47.044008273979756</v>
      </c>
      <c r="M37" s="285">
        <v>5</v>
      </c>
      <c r="N37" s="283">
        <f t="shared" si="9"/>
        <v>8733.1650000000009</v>
      </c>
      <c r="P37" s="292"/>
      <c r="Q37" s="293" t="s">
        <v>225</v>
      </c>
      <c r="R37" s="284">
        <f t="shared" si="10"/>
        <v>2905.009</v>
      </c>
      <c r="S37" s="285">
        <v>5</v>
      </c>
      <c r="T37" s="283">
        <f t="shared" si="11"/>
        <v>14525.045</v>
      </c>
    </row>
    <row r="38" spans="1:20" x14ac:dyDescent="0.2">
      <c r="A38" s="278"/>
      <c r="B38" s="292"/>
      <c r="C38" s="293" t="s">
        <v>226</v>
      </c>
      <c r="D38" s="284">
        <v>1133.123</v>
      </c>
      <c r="E38" s="285">
        <v>5</v>
      </c>
      <c r="F38" s="283">
        <f t="shared" si="8"/>
        <v>5665.6149999999998</v>
      </c>
      <c r="H38" s="292"/>
      <c r="I38" s="293" t="s">
        <v>226</v>
      </c>
      <c r="J38" s="280">
        <v>1547.9090000000001</v>
      </c>
      <c r="K38" s="280">
        <v>2.8718246800328839</v>
      </c>
      <c r="L38" s="285">
        <f t="shared" si="7"/>
        <v>44.453232686450221</v>
      </c>
      <c r="M38" s="285">
        <v>5</v>
      </c>
      <c r="N38" s="283">
        <f t="shared" si="9"/>
        <v>7739.5450000000001</v>
      </c>
      <c r="P38" s="292"/>
      <c r="Q38" s="293" t="s">
        <v>226</v>
      </c>
      <c r="R38" s="284">
        <f t="shared" si="10"/>
        <v>2681.0320000000002</v>
      </c>
      <c r="S38" s="285">
        <v>5</v>
      </c>
      <c r="T38" s="283">
        <f t="shared" si="11"/>
        <v>13405.16</v>
      </c>
    </row>
    <row r="39" spans="1:20" x14ac:dyDescent="0.2">
      <c r="A39" s="278"/>
      <c r="B39" s="292"/>
      <c r="C39" s="293" t="s">
        <v>227</v>
      </c>
      <c r="D39" s="284">
        <v>1113.4159999999999</v>
      </c>
      <c r="E39" s="285">
        <v>5</v>
      </c>
      <c r="F39" s="283">
        <f t="shared" si="8"/>
        <v>5567.08</v>
      </c>
      <c r="H39" s="292"/>
      <c r="I39" s="293" t="s">
        <v>227</v>
      </c>
      <c r="J39" s="280">
        <v>1406.9659999999999</v>
      </c>
      <c r="K39" s="280">
        <v>2.986483809187698</v>
      </c>
      <c r="L39" s="285">
        <f t="shared" si="7"/>
        <v>42.018811790775779</v>
      </c>
      <c r="M39" s="285">
        <v>5</v>
      </c>
      <c r="N39" s="283">
        <f t="shared" si="9"/>
        <v>7034.83</v>
      </c>
      <c r="P39" s="292"/>
      <c r="Q39" s="293" t="s">
        <v>227</v>
      </c>
      <c r="R39" s="284">
        <f t="shared" si="10"/>
        <v>2520.3819999999996</v>
      </c>
      <c r="S39" s="285">
        <v>5</v>
      </c>
      <c r="T39" s="283">
        <f t="shared" si="11"/>
        <v>12601.909999999998</v>
      </c>
    </row>
    <row r="40" spans="1:20" x14ac:dyDescent="0.2">
      <c r="A40" s="278"/>
      <c r="B40" s="292"/>
      <c r="C40" s="293" t="s">
        <v>228</v>
      </c>
      <c r="D40" s="284">
        <v>1127.173</v>
      </c>
      <c r="E40" s="285">
        <v>5</v>
      </c>
      <c r="F40" s="283">
        <f t="shared" si="8"/>
        <v>5635.8649999999998</v>
      </c>
      <c r="H40" s="292"/>
      <c r="I40" s="293" t="s">
        <v>228</v>
      </c>
      <c r="J40" s="280">
        <v>1406.7560000000001</v>
      </c>
      <c r="K40" s="280">
        <v>2.8924658715510452</v>
      </c>
      <c r="L40" s="285">
        <f t="shared" si="7"/>
        <v>40.68993719599662</v>
      </c>
      <c r="M40" s="285">
        <v>5</v>
      </c>
      <c r="N40" s="283">
        <f t="shared" si="9"/>
        <v>7033.7800000000007</v>
      </c>
      <c r="P40" s="292"/>
      <c r="Q40" s="293" t="s">
        <v>228</v>
      </c>
      <c r="R40" s="284">
        <f t="shared" si="10"/>
        <v>2533.9290000000001</v>
      </c>
      <c r="S40" s="285">
        <v>5</v>
      </c>
      <c r="T40" s="283">
        <f t="shared" si="11"/>
        <v>12669.645</v>
      </c>
    </row>
    <row r="41" spans="1:20" x14ac:dyDescent="0.2">
      <c r="A41" s="278"/>
      <c r="B41" s="292"/>
      <c r="C41" s="293" t="s">
        <v>333</v>
      </c>
      <c r="D41" s="284">
        <v>1144.18</v>
      </c>
      <c r="E41" s="285">
        <v>5</v>
      </c>
      <c r="F41" s="283">
        <f t="shared" si="8"/>
        <v>5720.9000000000005</v>
      </c>
      <c r="H41" s="292"/>
      <c r="I41" s="293" t="s">
        <v>333</v>
      </c>
      <c r="J41" s="280">
        <v>1507.913</v>
      </c>
      <c r="K41" s="280">
        <v>2.7579837707435275</v>
      </c>
      <c r="L41" s="285">
        <f t="shared" si="7"/>
        <v>41.587995816931851</v>
      </c>
      <c r="M41" s="285">
        <v>5</v>
      </c>
      <c r="N41" s="283">
        <f t="shared" si="9"/>
        <v>7539.5650000000005</v>
      </c>
      <c r="P41" s="292"/>
      <c r="Q41" s="293" t="s">
        <v>333</v>
      </c>
      <c r="R41" s="284">
        <f t="shared" si="10"/>
        <v>2652.0929999999998</v>
      </c>
      <c r="S41" s="285">
        <v>5</v>
      </c>
      <c r="T41" s="283">
        <f t="shared" si="11"/>
        <v>13260.465</v>
      </c>
    </row>
    <row r="42" spans="1:20" x14ac:dyDescent="0.2">
      <c r="A42" s="278"/>
      <c r="B42" s="292"/>
      <c r="C42" s="293" t="s">
        <v>334</v>
      </c>
      <c r="D42" s="284">
        <v>1169.204</v>
      </c>
      <c r="E42" s="285">
        <v>5</v>
      </c>
      <c r="F42" s="283">
        <f t="shared" si="8"/>
        <v>5846.0199999999995</v>
      </c>
      <c r="H42" s="292"/>
      <c r="I42" s="293" t="s">
        <v>334</v>
      </c>
      <c r="J42" s="280">
        <v>1688.3330000000001</v>
      </c>
      <c r="K42" s="280">
        <v>2.5349031858724986</v>
      </c>
      <c r="L42" s="285">
        <f t="shared" si="7"/>
        <v>42.797607005136733</v>
      </c>
      <c r="M42" s="285">
        <v>5</v>
      </c>
      <c r="N42" s="283">
        <f t="shared" si="9"/>
        <v>8441.6650000000009</v>
      </c>
      <c r="P42" s="292"/>
      <c r="Q42" s="293" t="s">
        <v>334</v>
      </c>
      <c r="R42" s="284">
        <f t="shared" si="10"/>
        <v>2857.5370000000003</v>
      </c>
      <c r="S42" s="285">
        <v>5</v>
      </c>
      <c r="T42" s="283">
        <f t="shared" si="11"/>
        <v>14287.685000000001</v>
      </c>
    </row>
    <row r="43" spans="1:20" x14ac:dyDescent="0.2">
      <c r="A43" s="278"/>
      <c r="B43" s="292"/>
      <c r="C43" s="293" t="s">
        <v>231</v>
      </c>
      <c r="D43" s="284">
        <v>1192.557</v>
      </c>
      <c r="E43" s="285">
        <v>5</v>
      </c>
      <c r="F43" s="283">
        <f t="shared" si="8"/>
        <v>5962.7849999999999</v>
      </c>
      <c r="H43" s="292"/>
      <c r="I43" s="293" t="s">
        <v>231</v>
      </c>
      <c r="J43" s="280">
        <v>1891.8689999999999</v>
      </c>
      <c r="K43" s="280">
        <v>2.3065075244665842</v>
      </c>
      <c r="L43" s="285">
        <f t="shared" si="7"/>
        <v>43.636100838050723</v>
      </c>
      <c r="M43" s="285">
        <v>5</v>
      </c>
      <c r="N43" s="283">
        <f t="shared" si="9"/>
        <v>9459.3449999999993</v>
      </c>
      <c r="P43" s="292"/>
      <c r="Q43" s="293" t="s">
        <v>231</v>
      </c>
      <c r="R43" s="284">
        <f t="shared" si="10"/>
        <v>3084.4259999999999</v>
      </c>
      <c r="S43" s="285">
        <v>5</v>
      </c>
      <c r="T43" s="283">
        <f t="shared" si="11"/>
        <v>15422.13</v>
      </c>
    </row>
    <row r="44" spans="1:20" x14ac:dyDescent="0.2">
      <c r="A44" s="278"/>
      <c r="B44" s="292"/>
      <c r="C44" s="293" t="s">
        <v>232</v>
      </c>
      <c r="D44" s="284">
        <v>1227.096</v>
      </c>
      <c r="E44" s="285">
        <v>5</v>
      </c>
      <c r="F44" s="283">
        <f t="shared" si="8"/>
        <v>6135.48</v>
      </c>
      <c r="H44" s="292"/>
      <c r="I44" s="293" t="s">
        <v>232</v>
      </c>
      <c r="J44" s="280">
        <v>2071.4290000000001</v>
      </c>
      <c r="K44" s="280">
        <v>2.1127895014616009</v>
      </c>
      <c r="L44" s="285">
        <f t="shared" si="7"/>
        <v>43.764934442231024</v>
      </c>
      <c r="M44" s="285">
        <v>5</v>
      </c>
      <c r="N44" s="283">
        <f t="shared" si="9"/>
        <v>10357.145</v>
      </c>
      <c r="P44" s="292"/>
      <c r="Q44" s="293" t="s">
        <v>232</v>
      </c>
      <c r="R44" s="284">
        <f t="shared" si="10"/>
        <v>3298.5250000000001</v>
      </c>
      <c r="S44" s="285">
        <v>5</v>
      </c>
      <c r="T44" s="283">
        <f t="shared" si="11"/>
        <v>16492.625</v>
      </c>
    </row>
    <row r="45" spans="1:20" ht="13.5" thickBot="1" x14ac:dyDescent="0.25">
      <c r="A45" s="278"/>
      <c r="B45" s="297"/>
      <c r="C45" s="298" t="s">
        <v>233</v>
      </c>
      <c r="D45" s="299">
        <v>1242.3599999999999</v>
      </c>
      <c r="E45" s="301">
        <v>5</v>
      </c>
      <c r="F45" s="333">
        <f t="shared" si="8"/>
        <v>6211.7999999999993</v>
      </c>
      <c r="H45" s="297"/>
      <c r="I45" s="298" t="s">
        <v>233</v>
      </c>
      <c r="J45" s="300">
        <v>2184.9119999999998</v>
      </c>
      <c r="K45" s="300">
        <v>1.9985193530840843</v>
      </c>
      <c r="L45" s="301">
        <f t="shared" si="7"/>
        <v>43.66588916785652</v>
      </c>
      <c r="M45" s="301">
        <v>5</v>
      </c>
      <c r="N45" s="333">
        <f t="shared" si="9"/>
        <v>10924.56</v>
      </c>
      <c r="P45" s="297"/>
      <c r="Q45" s="298" t="s">
        <v>233</v>
      </c>
      <c r="R45" s="299">
        <f t="shared" si="10"/>
        <v>3427.2719999999999</v>
      </c>
      <c r="S45" s="301">
        <v>5</v>
      </c>
      <c r="T45" s="333">
        <f t="shared" si="11"/>
        <v>17136.36</v>
      </c>
    </row>
    <row r="47" spans="1:20" ht="13.5" thickBot="1" x14ac:dyDescent="0.25"/>
    <row r="48" spans="1:20" x14ac:dyDescent="0.2">
      <c r="A48" s="278"/>
      <c r="B48" s="1006" t="s">
        <v>485</v>
      </c>
      <c r="C48" s="1007"/>
      <c r="D48" s="1007"/>
      <c r="E48" s="1007"/>
      <c r="F48" s="1008"/>
      <c r="H48" s="1006" t="s">
        <v>485</v>
      </c>
      <c r="I48" s="1009"/>
      <c r="J48" s="1009"/>
      <c r="K48" s="1009"/>
      <c r="L48" s="1009"/>
      <c r="M48" s="1009"/>
      <c r="N48" s="1010"/>
      <c r="P48" s="1006" t="s">
        <v>485</v>
      </c>
      <c r="Q48" s="1007"/>
      <c r="R48" s="1007"/>
      <c r="S48" s="1007"/>
      <c r="T48" s="1008"/>
    </row>
    <row r="49" spans="1:20" ht="13.5" thickBot="1" x14ac:dyDescent="0.25">
      <c r="A49" s="278"/>
      <c r="B49" s="286" t="s">
        <v>78</v>
      </c>
      <c r="C49" s="287" t="s">
        <v>480</v>
      </c>
      <c r="D49" s="287" t="s">
        <v>377</v>
      </c>
      <c r="E49" s="290" t="s">
        <v>479</v>
      </c>
      <c r="F49" s="288" t="s">
        <v>378</v>
      </c>
      <c r="H49" s="289" t="s">
        <v>309</v>
      </c>
      <c r="I49" s="287" t="s">
        <v>480</v>
      </c>
      <c r="J49" s="287" t="s">
        <v>377</v>
      </c>
      <c r="K49" s="290" t="s">
        <v>82</v>
      </c>
      <c r="L49" s="290" t="s">
        <v>310</v>
      </c>
      <c r="M49" s="290" t="s">
        <v>479</v>
      </c>
      <c r="N49" s="291" t="s">
        <v>378</v>
      </c>
      <c r="P49" s="286" t="s">
        <v>486</v>
      </c>
      <c r="Q49" s="287" t="s">
        <v>480</v>
      </c>
      <c r="R49" s="287" t="s">
        <v>377</v>
      </c>
      <c r="S49" s="290" t="s">
        <v>479</v>
      </c>
      <c r="T49" s="288" t="s">
        <v>378</v>
      </c>
    </row>
    <row r="50" spans="1:20" x14ac:dyDescent="0.2">
      <c r="A50" s="278"/>
      <c r="B50" s="304" t="s">
        <v>92</v>
      </c>
      <c r="C50" s="305" t="s">
        <v>332</v>
      </c>
      <c r="D50" s="294">
        <v>1357.6379999999999</v>
      </c>
      <c r="E50" s="296">
        <v>4</v>
      </c>
      <c r="F50" s="332">
        <f>D50*E50</f>
        <v>5430.5519999999997</v>
      </c>
      <c r="H50" s="304" t="s">
        <v>92</v>
      </c>
      <c r="I50" s="305" t="s">
        <v>332</v>
      </c>
      <c r="J50" s="295">
        <v>2957.9369999999999</v>
      </c>
      <c r="K50" s="295">
        <v>4.9175326735365372</v>
      </c>
      <c r="L50" s="296">
        <f t="shared" ref="L50:L60" si="12">(K50*J50)/100</f>
        <v>145.45751843762645</v>
      </c>
      <c r="M50" s="296">
        <v>4</v>
      </c>
      <c r="N50" s="332">
        <f>J50*M50</f>
        <v>11831.748</v>
      </c>
      <c r="P50" s="304" t="s">
        <v>92</v>
      </c>
      <c r="Q50" s="305" t="s">
        <v>332</v>
      </c>
      <c r="R50" s="294">
        <f>D50+J50</f>
        <v>4315.5749999999998</v>
      </c>
      <c r="S50" s="296">
        <v>4</v>
      </c>
      <c r="T50" s="332">
        <f>R50*S50</f>
        <v>17262.3</v>
      </c>
    </row>
    <row r="51" spans="1:20" x14ac:dyDescent="0.2">
      <c r="A51" s="278"/>
      <c r="B51" s="292"/>
      <c r="C51" s="293" t="s">
        <v>222</v>
      </c>
      <c r="D51" s="284">
        <v>1151.4490000000001</v>
      </c>
      <c r="E51" s="285">
        <v>5</v>
      </c>
      <c r="F51" s="283">
        <f t="shared" ref="F51:F60" si="13">D51*E51</f>
        <v>5757.2450000000008</v>
      </c>
      <c r="H51" s="292"/>
      <c r="I51" s="293" t="s">
        <v>222</v>
      </c>
      <c r="J51" s="280">
        <v>3264.904</v>
      </c>
      <c r="K51" s="280">
        <v>4.7723267050589984</v>
      </c>
      <c r="L51" s="285">
        <f t="shared" si="12"/>
        <v>155.81188548653944</v>
      </c>
      <c r="M51" s="285">
        <v>5</v>
      </c>
      <c r="N51" s="283">
        <f t="shared" ref="N51:N60" si="14">J51*M51</f>
        <v>16324.52</v>
      </c>
      <c r="P51" s="292"/>
      <c r="Q51" s="293" t="s">
        <v>222</v>
      </c>
      <c r="R51" s="284">
        <f t="shared" ref="R51:R60" si="15">D51+J51</f>
        <v>4416.3530000000001</v>
      </c>
      <c r="S51" s="285">
        <v>5</v>
      </c>
      <c r="T51" s="283">
        <f t="shared" ref="T51:T60" si="16">R51*S51</f>
        <v>22081.764999999999</v>
      </c>
    </row>
    <row r="52" spans="1:20" x14ac:dyDescent="0.2">
      <c r="A52" s="278"/>
      <c r="B52" s="292"/>
      <c r="C52" s="293" t="s">
        <v>225</v>
      </c>
      <c r="D52" s="284">
        <v>1122.9359999999999</v>
      </c>
      <c r="E52" s="285">
        <v>5</v>
      </c>
      <c r="F52" s="283">
        <f t="shared" si="13"/>
        <v>5614.6799999999994</v>
      </c>
      <c r="H52" s="292"/>
      <c r="I52" s="293" t="s">
        <v>225</v>
      </c>
      <c r="J52" s="280">
        <v>2956.4490000000001</v>
      </c>
      <c r="K52" s="280">
        <v>5.0877422572868625</v>
      </c>
      <c r="L52" s="285">
        <f t="shared" si="12"/>
        <v>150.41650508813487</v>
      </c>
      <c r="M52" s="285">
        <v>5</v>
      </c>
      <c r="N52" s="283">
        <f t="shared" si="14"/>
        <v>14782.245000000001</v>
      </c>
      <c r="P52" s="292"/>
      <c r="Q52" s="293" t="s">
        <v>225</v>
      </c>
      <c r="R52" s="284">
        <f t="shared" si="15"/>
        <v>4079.3850000000002</v>
      </c>
      <c r="S52" s="285">
        <v>5</v>
      </c>
      <c r="T52" s="283">
        <f t="shared" si="16"/>
        <v>20396.925000000003</v>
      </c>
    </row>
    <row r="53" spans="1:20" x14ac:dyDescent="0.2">
      <c r="A53" s="278"/>
      <c r="B53" s="292"/>
      <c r="C53" s="293" t="s">
        <v>226</v>
      </c>
      <c r="D53" s="284">
        <v>1146.115</v>
      </c>
      <c r="E53" s="285">
        <v>5</v>
      </c>
      <c r="F53" s="283">
        <f t="shared" si="13"/>
        <v>5730.5749999999998</v>
      </c>
      <c r="H53" s="292"/>
      <c r="I53" s="293" t="s">
        <v>226</v>
      </c>
      <c r="J53" s="280">
        <v>3052.6990000000001</v>
      </c>
      <c r="K53" s="280">
        <v>5.1812754658331821</v>
      </c>
      <c r="L53" s="285">
        <f t="shared" si="12"/>
        <v>158.16874433273489</v>
      </c>
      <c r="M53" s="285">
        <v>5</v>
      </c>
      <c r="N53" s="283">
        <f t="shared" si="14"/>
        <v>15263.495000000001</v>
      </c>
      <c r="P53" s="292"/>
      <c r="Q53" s="293" t="s">
        <v>226</v>
      </c>
      <c r="R53" s="284">
        <f t="shared" si="15"/>
        <v>4198.8140000000003</v>
      </c>
      <c r="S53" s="285">
        <v>5</v>
      </c>
      <c r="T53" s="283">
        <f t="shared" si="16"/>
        <v>20994.07</v>
      </c>
    </row>
    <row r="54" spans="1:20" x14ac:dyDescent="0.2">
      <c r="A54" s="278"/>
      <c r="B54" s="292"/>
      <c r="C54" s="293" t="s">
        <v>227</v>
      </c>
      <c r="D54" s="284">
        <v>1094.79</v>
      </c>
      <c r="E54" s="285">
        <v>5</v>
      </c>
      <c r="F54" s="283">
        <f t="shared" si="13"/>
        <v>5473.95</v>
      </c>
      <c r="H54" s="292"/>
      <c r="I54" s="293" t="s">
        <v>227</v>
      </c>
      <c r="J54" s="280">
        <v>2910.4050000000002</v>
      </c>
      <c r="K54" s="280">
        <v>5.8810833804531484</v>
      </c>
      <c r="L54" s="285">
        <f t="shared" si="12"/>
        <v>171.16334475887746</v>
      </c>
      <c r="M54" s="285">
        <v>5</v>
      </c>
      <c r="N54" s="283">
        <f t="shared" si="14"/>
        <v>14552.025000000001</v>
      </c>
      <c r="P54" s="292"/>
      <c r="Q54" s="293" t="s">
        <v>227</v>
      </c>
      <c r="R54" s="284">
        <f t="shared" si="15"/>
        <v>4005.1950000000002</v>
      </c>
      <c r="S54" s="285">
        <v>5</v>
      </c>
      <c r="T54" s="283">
        <f t="shared" si="16"/>
        <v>20025.975000000002</v>
      </c>
    </row>
    <row r="55" spans="1:20" x14ac:dyDescent="0.2">
      <c r="A55" s="278"/>
      <c r="B55" s="292"/>
      <c r="C55" s="293" t="s">
        <v>228</v>
      </c>
      <c r="D55" s="284">
        <v>1100.3589999999999</v>
      </c>
      <c r="E55" s="285">
        <v>5</v>
      </c>
      <c r="F55" s="283">
        <f t="shared" si="13"/>
        <v>5501.7950000000001</v>
      </c>
      <c r="H55" s="292"/>
      <c r="I55" s="293" t="s">
        <v>228</v>
      </c>
      <c r="J55" s="280">
        <v>2272.7440000000001</v>
      </c>
      <c r="K55" s="280">
        <v>6.3794291254089313</v>
      </c>
      <c r="L55" s="285">
        <f t="shared" si="12"/>
        <v>144.98809268198397</v>
      </c>
      <c r="M55" s="285">
        <v>5</v>
      </c>
      <c r="N55" s="283">
        <f t="shared" si="14"/>
        <v>11363.720000000001</v>
      </c>
      <c r="P55" s="292"/>
      <c r="Q55" s="293" t="s">
        <v>228</v>
      </c>
      <c r="R55" s="284">
        <f t="shared" si="15"/>
        <v>3373.1030000000001</v>
      </c>
      <c r="S55" s="285">
        <v>5</v>
      </c>
      <c r="T55" s="283">
        <f t="shared" si="16"/>
        <v>16865.514999999999</v>
      </c>
    </row>
    <row r="56" spans="1:20" x14ac:dyDescent="0.2">
      <c r="A56" s="278"/>
      <c r="B56" s="292"/>
      <c r="C56" s="293" t="s">
        <v>333</v>
      </c>
      <c r="D56" s="284">
        <v>1120.8820000000001</v>
      </c>
      <c r="E56" s="285">
        <v>5</v>
      </c>
      <c r="F56" s="283">
        <f t="shared" si="13"/>
        <v>5604.41</v>
      </c>
      <c r="H56" s="292"/>
      <c r="I56" s="293" t="s">
        <v>333</v>
      </c>
      <c r="J56" s="280">
        <v>1864.1179999999999</v>
      </c>
      <c r="K56" s="280">
        <v>6.0087275633713189</v>
      </c>
      <c r="L56" s="285">
        <f t="shared" si="12"/>
        <v>112.00977207976615</v>
      </c>
      <c r="M56" s="285">
        <v>5</v>
      </c>
      <c r="N56" s="283">
        <f t="shared" si="14"/>
        <v>9320.59</v>
      </c>
      <c r="P56" s="292"/>
      <c r="Q56" s="293" t="s">
        <v>333</v>
      </c>
      <c r="R56" s="284">
        <f t="shared" si="15"/>
        <v>2985</v>
      </c>
      <c r="S56" s="285">
        <v>5</v>
      </c>
      <c r="T56" s="283">
        <f t="shared" si="16"/>
        <v>14925</v>
      </c>
    </row>
    <row r="57" spans="1:20" x14ac:dyDescent="0.2">
      <c r="A57" s="278"/>
      <c r="B57" s="292"/>
      <c r="C57" s="293" t="s">
        <v>334</v>
      </c>
      <c r="D57" s="284">
        <v>1071.3799999999999</v>
      </c>
      <c r="E57" s="285">
        <v>5</v>
      </c>
      <c r="F57" s="283">
        <f t="shared" si="13"/>
        <v>5356.9</v>
      </c>
      <c r="H57" s="292"/>
      <c r="I57" s="293" t="s">
        <v>334</v>
      </c>
      <c r="J57" s="280">
        <v>1537.9449999999999</v>
      </c>
      <c r="K57" s="280">
        <v>5.3753890135659841</v>
      </c>
      <c r="L57" s="285">
        <f t="shared" si="12"/>
        <v>82.670526564687364</v>
      </c>
      <c r="M57" s="285">
        <v>5</v>
      </c>
      <c r="N57" s="283">
        <f t="shared" si="14"/>
        <v>7689.7249999999995</v>
      </c>
      <c r="P57" s="292"/>
      <c r="Q57" s="293" t="s">
        <v>334</v>
      </c>
      <c r="R57" s="284">
        <f t="shared" si="15"/>
        <v>2609.3249999999998</v>
      </c>
      <c r="S57" s="285">
        <v>5</v>
      </c>
      <c r="T57" s="283">
        <f t="shared" si="16"/>
        <v>13046.625</v>
      </c>
    </row>
    <row r="58" spans="1:20" x14ac:dyDescent="0.2">
      <c r="A58" s="278"/>
      <c r="B58" s="292"/>
      <c r="C58" s="293" t="s">
        <v>231</v>
      </c>
      <c r="D58" s="284">
        <v>903.8119999999999</v>
      </c>
      <c r="E58" s="285">
        <v>5</v>
      </c>
      <c r="F58" s="283">
        <f t="shared" si="13"/>
        <v>4519.0599999999995</v>
      </c>
      <c r="H58" s="292"/>
      <c r="I58" s="293" t="s">
        <v>231</v>
      </c>
      <c r="J58" s="280">
        <v>1437.366</v>
      </c>
      <c r="K58" s="280">
        <v>5.6549002041536838</v>
      </c>
      <c r="L58" s="285">
        <f t="shared" si="12"/>
        <v>81.281612868435644</v>
      </c>
      <c r="M58" s="285">
        <v>5</v>
      </c>
      <c r="N58" s="283">
        <f t="shared" si="14"/>
        <v>7186.83</v>
      </c>
      <c r="P58" s="292"/>
      <c r="Q58" s="293" t="s">
        <v>231</v>
      </c>
      <c r="R58" s="284">
        <f t="shared" si="15"/>
        <v>2341.1779999999999</v>
      </c>
      <c r="S58" s="285">
        <v>5</v>
      </c>
      <c r="T58" s="283">
        <f t="shared" si="16"/>
        <v>11705.89</v>
      </c>
    </row>
    <row r="59" spans="1:20" x14ac:dyDescent="0.2">
      <c r="A59" s="278"/>
      <c r="B59" s="292"/>
      <c r="C59" s="293" t="s">
        <v>232</v>
      </c>
      <c r="D59" s="284">
        <v>1425.9059999999999</v>
      </c>
      <c r="E59" s="285">
        <v>5</v>
      </c>
      <c r="F59" s="283">
        <f t="shared" si="13"/>
        <v>7129.53</v>
      </c>
      <c r="H59" s="292"/>
      <c r="I59" s="293" t="s">
        <v>232</v>
      </c>
      <c r="J59" s="280">
        <v>1622.8710000000001</v>
      </c>
      <c r="K59" s="280">
        <v>5.9226321723649189</v>
      </c>
      <c r="L59" s="285">
        <f t="shared" si="12"/>
        <v>96.116679961980282</v>
      </c>
      <c r="M59" s="285">
        <v>5</v>
      </c>
      <c r="N59" s="283">
        <f t="shared" si="14"/>
        <v>8114.3550000000005</v>
      </c>
      <c r="P59" s="292"/>
      <c r="Q59" s="293" t="s">
        <v>232</v>
      </c>
      <c r="R59" s="284">
        <f t="shared" si="15"/>
        <v>3048.777</v>
      </c>
      <c r="S59" s="285">
        <v>5</v>
      </c>
      <c r="T59" s="283">
        <f t="shared" si="16"/>
        <v>15243.885</v>
      </c>
    </row>
    <row r="60" spans="1:20" ht="13.5" thickBot="1" x14ac:dyDescent="0.25">
      <c r="A60" s="278"/>
      <c r="B60" s="297"/>
      <c r="C60" s="298" t="s">
        <v>233</v>
      </c>
      <c r="D60" s="299">
        <v>868.93399999999997</v>
      </c>
      <c r="E60" s="301">
        <v>5</v>
      </c>
      <c r="F60" s="333">
        <f t="shared" si="13"/>
        <v>4344.67</v>
      </c>
      <c r="H60" s="297"/>
      <c r="I60" s="298" t="s">
        <v>233</v>
      </c>
      <c r="J60" s="300">
        <v>1370.6420000000001</v>
      </c>
      <c r="K60" s="300">
        <v>5.9733356391400863</v>
      </c>
      <c r="L60" s="301">
        <f t="shared" si="12"/>
        <v>81.873047071022469</v>
      </c>
      <c r="M60" s="301">
        <v>5</v>
      </c>
      <c r="N60" s="333">
        <f t="shared" si="14"/>
        <v>6853.21</v>
      </c>
      <c r="P60" s="297"/>
      <c r="Q60" s="298" t="s">
        <v>233</v>
      </c>
      <c r="R60" s="299">
        <f t="shared" si="15"/>
        <v>2239.576</v>
      </c>
      <c r="S60" s="301">
        <v>5</v>
      </c>
      <c r="T60" s="333">
        <f t="shared" si="16"/>
        <v>11197.880000000001</v>
      </c>
    </row>
    <row r="61" spans="1:20" x14ac:dyDescent="0.2">
      <c r="A61" s="278"/>
      <c r="B61" s="302"/>
      <c r="C61" s="303"/>
      <c r="D61" s="284"/>
      <c r="E61" s="285"/>
      <c r="F61" s="279"/>
      <c r="H61" s="302"/>
      <c r="I61" s="303"/>
      <c r="J61" s="285"/>
      <c r="K61" s="285"/>
      <c r="L61" s="285"/>
      <c r="M61" s="285"/>
      <c r="N61" s="279"/>
      <c r="P61" s="302"/>
      <c r="Q61" s="303"/>
      <c r="R61" s="284"/>
      <c r="S61" s="285"/>
      <c r="T61" s="279"/>
    </row>
    <row r="62" spans="1:20" x14ac:dyDescent="0.2">
      <c r="A62" s="278"/>
    </row>
  </sheetData>
  <mergeCells count="12">
    <mergeCell ref="B33:F33"/>
    <mergeCell ref="H33:N33"/>
    <mergeCell ref="P33:T33"/>
    <mergeCell ref="B48:F48"/>
    <mergeCell ref="H48:N48"/>
    <mergeCell ref="P48:T48"/>
    <mergeCell ref="B3:F3"/>
    <mergeCell ref="H3:N3"/>
    <mergeCell ref="P3:T3"/>
    <mergeCell ref="B18:F18"/>
    <mergeCell ref="H18:N18"/>
    <mergeCell ref="P18:T18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960</v>
      </c>
      <c r="C3" t="s">
        <v>643</v>
      </c>
    </row>
    <row r="5" spans="2:6" ht="15" customHeight="1" x14ac:dyDescent="0.2">
      <c r="B5" s="1061" t="s">
        <v>267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152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20"/>
      <c r="F7" s="71"/>
    </row>
    <row r="8" spans="2:6" ht="15" customHeight="1" x14ac:dyDescent="0.2">
      <c r="B8" s="81" t="s">
        <v>335</v>
      </c>
      <c r="C8" s="67">
        <f>'Section 15 data'!$Q$13</f>
        <v>903.58600000000001</v>
      </c>
      <c r="D8" s="829">
        <f>'Section 15 data'!$R$13</f>
        <v>164.47</v>
      </c>
      <c r="E8" s="205">
        <f>'Section 15 data'!$S$13</f>
        <v>57.764741260761184</v>
      </c>
      <c r="F8" s="822">
        <f>SUM(C8,D8)</f>
        <v>1068.056</v>
      </c>
    </row>
    <row r="9" spans="2:6" ht="15" customHeight="1" x14ac:dyDescent="0.2">
      <c r="B9" s="82" t="s">
        <v>336</v>
      </c>
      <c r="C9" s="67">
        <f>'Section 15 data'!$Q$14</f>
        <v>4342.1310000000003</v>
      </c>
      <c r="D9" s="829">
        <f>'Section 15 data'!$R$14</f>
        <v>2315.1060000000002</v>
      </c>
      <c r="E9" s="205">
        <f>'Section 15 data'!$S$14</f>
        <v>25.150743598133502</v>
      </c>
      <c r="F9" s="822">
        <f t="shared" ref="F9:F15" si="0">SUM(C9,D9)</f>
        <v>6657.237000000001</v>
      </c>
    </row>
    <row r="10" spans="2:6" ht="15" customHeight="1" x14ac:dyDescent="0.2">
      <c r="B10" s="81" t="s">
        <v>337</v>
      </c>
      <c r="C10" s="67">
        <f>'Section 15 data'!$Q$15</f>
        <v>3244.277</v>
      </c>
      <c r="D10" s="829">
        <f>'Section 15 data'!$R$15</f>
        <v>7928.8469999999998</v>
      </c>
      <c r="E10" s="205">
        <f>'Section 15 data'!$S$15</f>
        <v>9.7672780169100744</v>
      </c>
      <c r="F10" s="822">
        <f t="shared" si="0"/>
        <v>11173.124</v>
      </c>
    </row>
    <row r="11" spans="2:6" ht="15" customHeight="1" x14ac:dyDescent="0.2">
      <c r="B11" s="81" t="s">
        <v>338</v>
      </c>
      <c r="C11" s="67">
        <f>'Section 15 data'!$Q$16</f>
        <v>1466.317</v>
      </c>
      <c r="D11" s="829">
        <f>'Section 15 data'!$R$16</f>
        <v>8717.9639999999999</v>
      </c>
      <c r="E11" s="205">
        <f>'Section 15 data'!$S$16</f>
        <v>8.1902648925683614</v>
      </c>
      <c r="F11" s="822">
        <f t="shared" si="0"/>
        <v>10184.280999999999</v>
      </c>
    </row>
    <row r="12" spans="2:6" ht="15" customHeight="1" x14ac:dyDescent="0.2">
      <c r="B12" s="81" t="s">
        <v>339</v>
      </c>
      <c r="C12" s="67">
        <f>'Section 15 data'!$Q$17</f>
        <v>613.95399999999995</v>
      </c>
      <c r="D12" s="829">
        <f>'Section 15 data'!$R$17</f>
        <v>1687.9290000000001</v>
      </c>
      <c r="E12" s="205">
        <f>'Section 15 data'!$S$17</f>
        <v>16.786349701698413</v>
      </c>
      <c r="F12" s="822">
        <f t="shared" si="0"/>
        <v>2301.8829999999998</v>
      </c>
    </row>
    <row r="13" spans="2:6" ht="15" customHeight="1" x14ac:dyDescent="0.2">
      <c r="B13" s="81" t="s">
        <v>340</v>
      </c>
      <c r="C13" s="67">
        <f>'Section 15 data'!$Q$18</f>
        <v>167.245</v>
      </c>
      <c r="D13" s="829">
        <f>'Section 15 data'!$R$18</f>
        <v>75.39</v>
      </c>
      <c r="E13" s="205">
        <f>'Section 15 data'!$S$18</f>
        <v>45.169382917400831</v>
      </c>
      <c r="F13" s="822">
        <f t="shared" si="0"/>
        <v>242.63499999999999</v>
      </c>
    </row>
    <row r="14" spans="2:6" ht="15" customHeight="1" x14ac:dyDescent="0.2">
      <c r="B14" s="81" t="s">
        <v>268</v>
      </c>
      <c r="C14" s="67">
        <f>'Section 15 data'!$Q$19</f>
        <v>39.765999999999998</v>
      </c>
      <c r="D14" s="829">
        <f>'Section 15 data'!$R$19</f>
        <v>2.109</v>
      </c>
      <c r="E14" s="205">
        <f>'Section 15 data'!$S$19</f>
        <v>99.06</v>
      </c>
      <c r="F14" s="822">
        <f t="shared" si="0"/>
        <v>41.875</v>
      </c>
    </row>
    <row r="15" spans="2:6" ht="15" customHeight="1" x14ac:dyDescent="0.2">
      <c r="B15" s="83" t="s">
        <v>80</v>
      </c>
      <c r="C15" s="830">
        <f>'Section 15 data'!$Q$8</f>
        <v>10839.898999999999</v>
      </c>
      <c r="D15" s="830">
        <f>'Section 15 data'!$R$8</f>
        <v>20891.810000000001</v>
      </c>
      <c r="E15" s="321">
        <f>'Section 15 data'!$S$8</f>
        <v>5.8216449787865852</v>
      </c>
      <c r="F15" s="831">
        <f t="shared" si="0"/>
        <v>31731.709000000003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22851D3F-4906-4AA4-B169-2C0193DA83CE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  <x14:conditionalFormatting xmlns:xm="http://schemas.microsoft.com/office/excel/2006/main">
          <x14:cfRule type="expression" priority="1" id="{A666129D-9545-4BB4-A881-54510C71CFC0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</x14:conditionalFormattings>
    </ext>
  </extLst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961</v>
      </c>
      <c r="C3" t="s">
        <v>642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74" t="s">
        <v>80</v>
      </c>
    </row>
    <row r="6" spans="2:6" ht="30" customHeight="1" x14ac:dyDescent="0.2">
      <c r="B6" s="1065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4" t="str">
        <f>Index!$B$4</f>
        <v>England</v>
      </c>
      <c r="C7" s="69"/>
      <c r="D7" s="69"/>
      <c r="E7" s="70"/>
      <c r="F7" s="71"/>
    </row>
    <row r="8" spans="2:6" ht="15" customHeight="1" x14ac:dyDescent="0.2">
      <c r="B8" s="78" t="s">
        <v>341</v>
      </c>
      <c r="C8" s="823">
        <f>'Section 15 data'!$Q$24</f>
        <v>279.74299999999999</v>
      </c>
      <c r="D8" s="824">
        <f>'Section 15 data'!$R$24</f>
        <v>330.74400000000003</v>
      </c>
      <c r="E8" s="205">
        <f>'Section 15 data'!$S$24</f>
        <v>71.78</v>
      </c>
      <c r="F8" s="825">
        <f>SUM(C8,D8)</f>
        <v>610.48700000000008</v>
      </c>
    </row>
    <row r="9" spans="2:6" ht="15" customHeight="1" x14ac:dyDescent="0.2">
      <c r="B9" s="79" t="s">
        <v>342</v>
      </c>
      <c r="C9" s="823">
        <f>'Section 15 data'!$Q$25</f>
        <v>2434.0619999999999</v>
      </c>
      <c r="D9" s="824">
        <f>'Section 15 data'!$R$25</f>
        <v>1758.7819999999999</v>
      </c>
      <c r="E9" s="205">
        <f>'Section 15 data'!$S$25</f>
        <v>28.935416913121543</v>
      </c>
      <c r="F9" s="825">
        <f t="shared" ref="F9:F17" si="0">SUM(C9,D9)</f>
        <v>4192.8440000000001</v>
      </c>
    </row>
    <row r="10" spans="2:6" ht="15" customHeight="1" x14ac:dyDescent="0.2">
      <c r="B10" s="80" t="s">
        <v>343</v>
      </c>
      <c r="C10" s="823">
        <f>'Section 15 data'!$Q$26</f>
        <v>4965.6769999999997</v>
      </c>
      <c r="D10" s="824">
        <f>'Section 15 data'!$R$26</f>
        <v>1430.03</v>
      </c>
      <c r="E10" s="205">
        <f>'Section 15 data'!$S$26</f>
        <v>20.577049618607926</v>
      </c>
      <c r="F10" s="825">
        <f t="shared" si="0"/>
        <v>6395.7069999999994</v>
      </c>
    </row>
    <row r="11" spans="2:6" ht="15" customHeight="1" x14ac:dyDescent="0.2">
      <c r="B11" s="78" t="s">
        <v>344</v>
      </c>
      <c r="C11" s="823">
        <f>'Section 15 data'!$Q$27</f>
        <v>1038.454</v>
      </c>
      <c r="D11" s="824">
        <f>'Section 15 data'!$R$27</f>
        <v>4193.8519999999999</v>
      </c>
      <c r="E11" s="205">
        <f>'Section 15 data'!$S$27</f>
        <v>14.868973743206086</v>
      </c>
      <c r="F11" s="825">
        <f t="shared" si="0"/>
        <v>5232.3059999999996</v>
      </c>
    </row>
    <row r="12" spans="2:6" ht="15" customHeight="1" x14ac:dyDescent="0.2">
      <c r="B12" s="78" t="s">
        <v>345</v>
      </c>
      <c r="C12" s="823">
        <f>'Section 15 data'!$Q$28</f>
        <v>1430.096</v>
      </c>
      <c r="D12" s="824">
        <f>'Section 15 data'!$R$28</f>
        <v>6795.375</v>
      </c>
      <c r="E12" s="205">
        <f>'Section 15 data'!$S$28</f>
        <v>10.132957750765719</v>
      </c>
      <c r="F12" s="825">
        <f t="shared" si="0"/>
        <v>8225.4709999999995</v>
      </c>
    </row>
    <row r="13" spans="2:6" ht="15" customHeight="1" x14ac:dyDescent="0.2">
      <c r="B13" s="78" t="s">
        <v>346</v>
      </c>
      <c r="C13" s="823">
        <f>'Section 15 data'!$Q$29</f>
        <v>544.31200000000001</v>
      </c>
      <c r="D13" s="824">
        <f>'Section 15 data'!$R$29</f>
        <v>3557.6509999999998</v>
      </c>
      <c r="E13" s="205">
        <f>'Section 15 data'!$S$29</f>
        <v>11.414616146583692</v>
      </c>
      <c r="F13" s="825">
        <f t="shared" si="0"/>
        <v>4101.9629999999997</v>
      </c>
    </row>
    <row r="14" spans="2:6" ht="15" customHeight="1" x14ac:dyDescent="0.2">
      <c r="B14" s="78" t="s">
        <v>347</v>
      </c>
      <c r="C14" s="823">
        <f>'Section 15 data'!$Q$30</f>
        <v>145.489</v>
      </c>
      <c r="D14" s="824">
        <f>'Section 15 data'!$R$30</f>
        <v>1285.8879999999999</v>
      </c>
      <c r="E14" s="205">
        <f>'Section 15 data'!$S$30</f>
        <v>16.707516243486911</v>
      </c>
      <c r="F14" s="825">
        <f t="shared" si="0"/>
        <v>1431.377</v>
      </c>
    </row>
    <row r="15" spans="2:6" ht="15" customHeight="1" x14ac:dyDescent="0.2">
      <c r="B15" s="78" t="s">
        <v>348</v>
      </c>
      <c r="C15" s="823">
        <f>'Section 15 data'!$Q$31</f>
        <v>1.7090000000000001</v>
      </c>
      <c r="D15" s="824">
        <f>'Section 15 data'!$R$31</f>
        <v>32.201000000000001</v>
      </c>
      <c r="E15" s="205">
        <f>'Section 15 data'!$S$31</f>
        <v>220.75994542862639</v>
      </c>
      <c r="F15" s="825">
        <f t="shared" si="0"/>
        <v>33.910000000000004</v>
      </c>
    </row>
    <row r="16" spans="2:6" ht="15" customHeight="1" x14ac:dyDescent="0.2">
      <c r="B16" s="78" t="s">
        <v>270</v>
      </c>
      <c r="C16" s="823">
        <f>'Section 15 data'!$Q$32</f>
        <v>0.35799999999999998</v>
      </c>
      <c r="D16" s="824">
        <f>'Section 15 data'!$R$32</f>
        <v>8.8919999999999995</v>
      </c>
      <c r="E16" s="205">
        <f>'Section 15 data'!$S$32</f>
        <v>87.438759348359838</v>
      </c>
      <c r="F16" s="825">
        <f t="shared" si="0"/>
        <v>9.25</v>
      </c>
    </row>
    <row r="17" spans="2:6" ht="15" customHeight="1" x14ac:dyDescent="0.2">
      <c r="B17" s="72" t="s">
        <v>80</v>
      </c>
      <c r="C17" s="87">
        <f>'Section 15 data'!$Q$8</f>
        <v>10839.898999999999</v>
      </c>
      <c r="D17" s="87">
        <f>'Section 15 data'!$R$8</f>
        <v>20891.810000000001</v>
      </c>
      <c r="E17" s="321">
        <f>'Section 15 data'!$S$8</f>
        <v>5.8216449787865852</v>
      </c>
      <c r="F17" s="87">
        <f t="shared" si="0"/>
        <v>31731.709000000003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FAF6D698-F4DB-41EE-B78A-DF777004CE0F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  <x14:conditionalFormatting xmlns:xm="http://schemas.microsoft.com/office/excel/2006/main">
          <x14:cfRule type="expression" priority="1" id="{FA28F2F8-2F4D-47A2-B931-284CC4ED539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</x14:conditionalFormattings>
    </ext>
  </extLst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964</v>
      </c>
      <c r="C3" t="s">
        <v>963</v>
      </c>
    </row>
    <row r="5" spans="2:12" ht="15" customHeight="1" x14ac:dyDescent="0.2">
      <c r="B5" s="1070" t="s">
        <v>738</v>
      </c>
      <c r="C5" s="1141" t="s">
        <v>650</v>
      </c>
      <c r="D5" s="1141"/>
      <c r="E5" s="1141"/>
      <c r="F5" s="1133"/>
      <c r="H5" s="1070" t="s">
        <v>738</v>
      </c>
      <c r="I5" s="1021" t="s">
        <v>980</v>
      </c>
      <c r="J5" s="1089"/>
      <c r="K5" s="1089"/>
      <c r="L5" s="1018"/>
    </row>
    <row r="6" spans="2:12" ht="45" customHeight="1" x14ac:dyDescent="0.2">
      <c r="B6" s="1153"/>
      <c r="C6" s="644" t="s">
        <v>78</v>
      </c>
      <c r="D6" s="1154" t="s">
        <v>79</v>
      </c>
      <c r="E6" s="1154"/>
      <c r="F6" s="643" t="s">
        <v>275</v>
      </c>
      <c r="H6" s="1153"/>
      <c r="I6" s="642" t="s">
        <v>276</v>
      </c>
      <c r="J6" s="641" t="s">
        <v>277</v>
      </c>
      <c r="K6" s="641" t="s">
        <v>965</v>
      </c>
      <c r="L6" s="640" t="s">
        <v>651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598" t="s">
        <v>81</v>
      </c>
      <c r="J7" s="597" t="s">
        <v>81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39">
        <f>'Section 15 data country'!$C$62</f>
        <v>9.8961100000000002</v>
      </c>
      <c r="D8" s="639">
        <f>'Section 15 data country'!$D$62</f>
        <v>30.346109999999999</v>
      </c>
      <c r="E8" s="638">
        <f>'Section 15 data country'!$E$62</f>
        <v>5.0982243069023951</v>
      </c>
      <c r="F8" s="637">
        <f>SUM(C8,D8)</f>
        <v>40.242220000000003</v>
      </c>
      <c r="G8" s="25"/>
      <c r="H8" s="636" t="s">
        <v>721</v>
      </c>
      <c r="I8" s="53">
        <f>'Section 15 data country'!$G$43</f>
        <v>892.49155999999994</v>
      </c>
      <c r="J8" s="54">
        <f>'Section 15 data country'!$G$5</f>
        <v>1197.5455499999998</v>
      </c>
      <c r="K8" s="55">
        <f>IF(I8=0,0,100*F8/I8)</f>
        <v>4.5089748523784365</v>
      </c>
      <c r="L8" s="56">
        <f>IF(J8=0,0,100*F8/J8)</f>
        <v>3.360391594290506</v>
      </c>
    </row>
    <row r="9" spans="2:12" ht="15" customHeight="1" x14ac:dyDescent="0.2">
      <c r="B9" s="632" t="s">
        <v>286</v>
      </c>
      <c r="C9" s="635">
        <f>'Section 15 data country'!$C$63</f>
        <v>1.3638800000000002</v>
      </c>
      <c r="D9" s="635">
        <f>'Section 15 data country'!$D$63</f>
        <v>3.81907</v>
      </c>
      <c r="E9" s="634">
        <f>'Section 15 data country'!$E$63</f>
        <v>15.01</v>
      </c>
      <c r="F9" s="633">
        <f t="shared" ref="F9:F22" si="0">SUM(C9,D9)</f>
        <v>5.1829499999999999</v>
      </c>
      <c r="G9" s="25"/>
      <c r="H9" s="632" t="s">
        <v>286</v>
      </c>
      <c r="I9" s="631">
        <f>'Section 15 data country'!$G$44</f>
        <v>44.848480000000002</v>
      </c>
      <c r="J9" s="630">
        <f>'Section 15 data country'!$G$6</f>
        <v>76.154820000000001</v>
      </c>
      <c r="K9" s="629">
        <f t="shared" ref="K9:K22" si="1">IF(I9=0,0,100*F9/I9)</f>
        <v>11.556578952062589</v>
      </c>
      <c r="L9" s="628">
        <f t="shared" ref="L9:L22" si="2">IF(J9=0,0,100*F9/J9)</f>
        <v>6.8058069075601511</v>
      </c>
    </row>
    <row r="10" spans="2:12" ht="15" customHeight="1" x14ac:dyDescent="0.2">
      <c r="B10" s="632" t="s">
        <v>298</v>
      </c>
      <c r="C10" s="635">
        <f>'Section 15 data country'!$C$64</f>
        <v>0.51385999999999998</v>
      </c>
      <c r="D10" s="635">
        <f>'Section 15 data country'!$D$64</f>
        <v>2.7468699999999999</v>
      </c>
      <c r="E10" s="634">
        <f>'Section 15 data country'!$E$64</f>
        <v>17.71</v>
      </c>
      <c r="F10" s="633">
        <f t="shared" si="0"/>
        <v>3.2607299999999997</v>
      </c>
      <c r="G10" s="25"/>
      <c r="H10" s="632" t="s">
        <v>298</v>
      </c>
      <c r="I10" s="631">
        <f>'Section 15 data country'!$G$45</f>
        <v>81.728650000000002</v>
      </c>
      <c r="J10" s="630">
        <f>'Section 15 data country'!$G$7</f>
        <v>106.67646000000002</v>
      </c>
      <c r="K10" s="629">
        <f t="shared" si="1"/>
        <v>3.9897025094627154</v>
      </c>
      <c r="L10" s="628">
        <f t="shared" si="2"/>
        <v>3.0566537359788648</v>
      </c>
    </row>
    <row r="11" spans="2:12" ht="15" customHeight="1" x14ac:dyDescent="0.2">
      <c r="B11" s="632" t="s">
        <v>287</v>
      </c>
      <c r="C11" s="635">
        <f>'Section 15 data country'!$C$65</f>
        <v>0.29419999999999996</v>
      </c>
      <c r="D11" s="635">
        <f>'Section 15 data country'!$D$65</f>
        <v>1.64174</v>
      </c>
      <c r="E11" s="634">
        <f>'Section 15 data country'!$E$65</f>
        <v>22.27</v>
      </c>
      <c r="F11" s="633">
        <f t="shared" si="0"/>
        <v>1.93594</v>
      </c>
      <c r="G11" s="25"/>
      <c r="H11" s="632" t="s">
        <v>287</v>
      </c>
      <c r="I11" s="631">
        <f>'Section 15 data country'!$G$46</f>
        <v>90.858959999999996</v>
      </c>
      <c r="J11" s="630">
        <f>'Section 15 data country'!$G$8</f>
        <v>124.23294000000001</v>
      </c>
      <c r="K11" s="629">
        <f t="shared" si="1"/>
        <v>2.1307089581478813</v>
      </c>
      <c r="L11" s="628">
        <f t="shared" si="2"/>
        <v>1.5583145661690045</v>
      </c>
    </row>
    <row r="12" spans="2:12" ht="15" customHeight="1" x14ac:dyDescent="0.2">
      <c r="B12" s="632" t="s">
        <v>288</v>
      </c>
      <c r="C12" s="635">
        <f>'Section 15 data country'!$C$66</f>
        <v>0.25562000000000001</v>
      </c>
      <c r="D12" s="635">
        <f>'Section 15 data country'!$D$66</f>
        <v>1.2879100000000001</v>
      </c>
      <c r="E12" s="634">
        <f>'Section 15 data country'!$E$66</f>
        <v>29.7</v>
      </c>
      <c r="F12" s="633">
        <f t="shared" si="0"/>
        <v>1.5435300000000001</v>
      </c>
      <c r="G12" s="25"/>
      <c r="H12" s="632" t="s">
        <v>288</v>
      </c>
      <c r="I12" s="631">
        <f>'Section 15 data country'!$G$47</f>
        <v>39.05968</v>
      </c>
      <c r="J12" s="630">
        <f>'Section 15 data country'!$G$9</f>
        <v>51.166460000000001</v>
      </c>
      <c r="K12" s="629">
        <f t="shared" si="1"/>
        <v>3.9517220827205959</v>
      </c>
      <c r="L12" s="628">
        <f t="shared" si="2"/>
        <v>3.0166831944207204</v>
      </c>
    </row>
    <row r="13" spans="2:12" ht="15" customHeight="1" x14ac:dyDescent="0.2">
      <c r="B13" s="632" t="s">
        <v>301</v>
      </c>
      <c r="C13" s="635">
        <f>'Section 15 data country'!$C$67</f>
        <v>7.1279999999999996E-2</v>
      </c>
      <c r="D13" s="635">
        <f>'Section 15 data country'!$D$67</f>
        <v>0.73529</v>
      </c>
      <c r="E13" s="634">
        <f>'Section 15 data country'!$E$67</f>
        <v>35.65</v>
      </c>
      <c r="F13" s="633">
        <f t="shared" si="0"/>
        <v>0.80657000000000001</v>
      </c>
      <c r="G13" s="25"/>
      <c r="H13" s="632" t="s">
        <v>301</v>
      </c>
      <c r="I13" s="631">
        <f>'Section 15 data country'!$G$48</f>
        <v>24.24953</v>
      </c>
      <c r="J13" s="630">
        <f>'Section 15 data country'!$G$10</f>
        <v>26.89772</v>
      </c>
      <c r="K13" s="629">
        <f t="shared" si="1"/>
        <v>3.3261263207987946</v>
      </c>
      <c r="L13" s="628">
        <f t="shared" si="2"/>
        <v>2.9986556481367193</v>
      </c>
    </row>
    <row r="14" spans="2:12" ht="15" customHeight="1" x14ac:dyDescent="0.2">
      <c r="B14" s="632" t="s">
        <v>302</v>
      </c>
      <c r="C14" s="635">
        <f>'Section 15 data country'!$C$68</f>
        <v>7.7819999999999986E-2</v>
      </c>
      <c r="D14" s="635">
        <f>'Section 15 data country'!$D$68</f>
        <v>0.84053999999999995</v>
      </c>
      <c r="E14" s="634">
        <f>'Section 15 data country'!$E$68</f>
        <v>30.4</v>
      </c>
      <c r="F14" s="633">
        <f t="shared" si="0"/>
        <v>0.91835999999999995</v>
      </c>
      <c r="G14" s="25"/>
      <c r="H14" s="632" t="s">
        <v>302</v>
      </c>
      <c r="I14" s="631">
        <f>'Section 15 data country'!$G$49</f>
        <v>30.066469999999999</v>
      </c>
      <c r="J14" s="630">
        <f>'Section 15 data country'!$G$11</f>
        <v>33.185850000000002</v>
      </c>
      <c r="K14" s="629">
        <f t="shared" si="1"/>
        <v>3.0544323959546964</v>
      </c>
      <c r="L14" s="628">
        <f t="shared" si="2"/>
        <v>2.7673240251492728</v>
      </c>
    </row>
    <row r="15" spans="2:12" ht="15" customHeight="1" x14ac:dyDescent="0.2">
      <c r="B15" s="632" t="s">
        <v>303</v>
      </c>
      <c r="C15" s="635">
        <f>'Section 15 data country'!$C$69</f>
        <v>0.14629</v>
      </c>
      <c r="D15" s="635">
        <f>'Section 15 data country'!$D$69</f>
        <v>1.3077699999999999</v>
      </c>
      <c r="E15" s="634">
        <f>'Section 15 data country'!$E$69</f>
        <v>25.38</v>
      </c>
      <c r="F15" s="633">
        <f t="shared" si="0"/>
        <v>1.4540599999999999</v>
      </c>
      <c r="G15" s="25"/>
      <c r="H15" s="632" t="s">
        <v>303</v>
      </c>
      <c r="I15" s="631">
        <f>'Section 15 data country'!$G$50</f>
        <v>86.336109999999991</v>
      </c>
      <c r="J15" s="630">
        <f>'Section 15 data country'!$G$12</f>
        <v>96.604010000000002</v>
      </c>
      <c r="K15" s="629">
        <f t="shared" si="1"/>
        <v>1.6841852152013796</v>
      </c>
      <c r="L15" s="628">
        <f t="shared" si="2"/>
        <v>1.5051756133104617</v>
      </c>
    </row>
    <row r="16" spans="2:12" ht="15" customHeight="1" x14ac:dyDescent="0.2">
      <c r="B16" s="632" t="s">
        <v>304</v>
      </c>
      <c r="C16" s="635">
        <f>'Section 15 data country'!$C$70</f>
        <v>9.2409999999999992E-2</v>
      </c>
      <c r="D16" s="635">
        <f>'Section 15 data country'!$D$70</f>
        <v>0.63697999999999999</v>
      </c>
      <c r="E16" s="634">
        <f>'Section 15 data country'!$E$70</f>
        <v>26.46</v>
      </c>
      <c r="F16" s="633">
        <f t="shared" si="0"/>
        <v>0.72938999999999998</v>
      </c>
      <c r="G16" s="25"/>
      <c r="H16" s="632" t="s">
        <v>304</v>
      </c>
      <c r="I16" s="631">
        <f>'Section 15 data country'!$G$51</f>
        <v>38.75761</v>
      </c>
      <c r="J16" s="630">
        <f>'Section 15 data country'!$G$13</f>
        <v>46.924610000000001</v>
      </c>
      <c r="K16" s="629">
        <f t="shared" si="1"/>
        <v>1.881927187976761</v>
      </c>
      <c r="L16" s="628">
        <f t="shared" si="2"/>
        <v>1.5543869197847353</v>
      </c>
    </row>
    <row r="17" spans="2:12" ht="15" customHeight="1" x14ac:dyDescent="0.2">
      <c r="B17" s="632" t="s">
        <v>291</v>
      </c>
      <c r="C17" s="635">
        <f>'Section 15 data country'!$C$71</f>
        <v>1.1733699999999998</v>
      </c>
      <c r="D17" s="635">
        <f>'Section 15 data country'!$D$71</f>
        <v>2.9594999999999998</v>
      </c>
      <c r="E17" s="634">
        <f>'Section 15 data country'!$E$71</f>
        <v>19.440000000000001</v>
      </c>
      <c r="F17" s="633">
        <f t="shared" si="0"/>
        <v>4.1328699999999996</v>
      </c>
      <c r="G17" s="25"/>
      <c r="H17" s="632" t="s">
        <v>291</v>
      </c>
      <c r="I17" s="631">
        <f>'Section 15 data country'!$G$52</f>
        <v>38.881959999999999</v>
      </c>
      <c r="J17" s="630">
        <f>'Section 15 data country'!$G$14</f>
        <v>100.34380999999999</v>
      </c>
      <c r="K17" s="629">
        <f t="shared" si="1"/>
        <v>10.629273832903484</v>
      </c>
      <c r="L17" s="628">
        <f t="shared" si="2"/>
        <v>4.1187094649884237</v>
      </c>
    </row>
    <row r="18" spans="2:12" ht="15" customHeight="1" x14ac:dyDescent="0.2">
      <c r="B18" s="632" t="s">
        <v>292</v>
      </c>
      <c r="C18" s="635">
        <f>'Section 15 data country'!$C$72</f>
        <v>0.33038999999999996</v>
      </c>
      <c r="D18" s="635">
        <f>'Section 15 data country'!$D$72</f>
        <v>1.52352</v>
      </c>
      <c r="E18" s="634">
        <f>'Section 15 data country'!$E$72</f>
        <v>19.39</v>
      </c>
      <c r="F18" s="633">
        <f t="shared" si="0"/>
        <v>1.8539099999999999</v>
      </c>
      <c r="G18" s="25"/>
      <c r="H18" s="632" t="s">
        <v>292</v>
      </c>
      <c r="I18" s="631">
        <f>'Section 15 data country'!$G$53</f>
        <v>93.393150000000006</v>
      </c>
      <c r="J18" s="630">
        <f>'Section 15 data country'!$G$15</f>
        <v>114.28462999999999</v>
      </c>
      <c r="K18" s="629">
        <f t="shared" si="1"/>
        <v>1.9850599321256428</v>
      </c>
      <c r="L18" s="628">
        <f t="shared" si="2"/>
        <v>1.6221866404957517</v>
      </c>
    </row>
    <row r="19" spans="2:12" ht="15" customHeight="1" x14ac:dyDescent="0.2">
      <c r="B19" s="632" t="s">
        <v>293</v>
      </c>
      <c r="C19" s="635">
        <f>'Section 15 data country'!$C$73</f>
        <v>8.1170000000000006E-2</v>
      </c>
      <c r="D19" s="635">
        <f>'Section 15 data country'!$D$73</f>
        <v>2.5034200000000002</v>
      </c>
      <c r="E19" s="634">
        <f>'Section 15 data country'!$E$73</f>
        <v>16.96</v>
      </c>
      <c r="F19" s="633">
        <f t="shared" si="0"/>
        <v>2.5845900000000004</v>
      </c>
      <c r="G19" s="25"/>
      <c r="H19" s="632" t="s">
        <v>293</v>
      </c>
      <c r="I19" s="631">
        <f>'Section 15 data country'!$G$54</f>
        <v>73.585939999999994</v>
      </c>
      <c r="J19" s="630">
        <f>'Section 15 data country'!$G$16</f>
        <v>88.609620000000007</v>
      </c>
      <c r="K19" s="629">
        <f t="shared" si="1"/>
        <v>3.5123421675390718</v>
      </c>
      <c r="L19" s="628">
        <f t="shared" si="2"/>
        <v>2.9168277665562727</v>
      </c>
    </row>
    <row r="20" spans="2:12" ht="15" customHeight="1" x14ac:dyDescent="0.2">
      <c r="B20" s="632" t="s">
        <v>294</v>
      </c>
      <c r="C20" s="635">
        <f>'Section 15 data country'!$C$74</f>
        <v>2.1596599999999997</v>
      </c>
      <c r="D20" s="635">
        <f>'Section 15 data country'!$D$74</f>
        <v>3.1237900000000001</v>
      </c>
      <c r="E20" s="634">
        <f>'Section 15 data country'!$E$74</f>
        <v>16.399999999999999</v>
      </c>
      <c r="F20" s="633">
        <f t="shared" si="0"/>
        <v>5.2834500000000002</v>
      </c>
      <c r="G20" s="25"/>
      <c r="H20" s="632" t="s">
        <v>294</v>
      </c>
      <c r="I20" s="631">
        <f>'Section 15 data country'!$G$55</f>
        <v>80.404610000000005</v>
      </c>
      <c r="J20" s="630">
        <f>'Section 15 data country'!$G$17</f>
        <v>100.84719</v>
      </c>
      <c r="K20" s="629">
        <f t="shared" si="1"/>
        <v>6.571078449357568</v>
      </c>
      <c r="L20" s="628">
        <f t="shared" si="2"/>
        <v>5.2390651638384771</v>
      </c>
    </row>
    <row r="21" spans="2:12" ht="15" customHeight="1" x14ac:dyDescent="0.2">
      <c r="B21" s="632" t="s">
        <v>295</v>
      </c>
      <c r="C21" s="635">
        <f>'Section 15 data country'!$C$75</f>
        <v>0.44569999999999999</v>
      </c>
      <c r="D21" s="635">
        <f>'Section 15 data country'!$D$75</f>
        <v>2.2767300000000001</v>
      </c>
      <c r="E21" s="634">
        <f>'Section 15 data country'!$E$75</f>
        <v>18.86</v>
      </c>
      <c r="F21" s="633">
        <f t="shared" si="0"/>
        <v>2.7224300000000001</v>
      </c>
      <c r="G21" s="25"/>
      <c r="H21" s="632" t="s">
        <v>295</v>
      </c>
      <c r="I21" s="631">
        <f>'Section 15 data country'!$G$56</f>
        <v>100.96449</v>
      </c>
      <c r="J21" s="630">
        <f>'Section 15 data country'!$G$18</f>
        <v>130.76726000000002</v>
      </c>
      <c r="K21" s="629">
        <f t="shared" si="1"/>
        <v>2.6964232672298944</v>
      </c>
      <c r="L21" s="628">
        <f t="shared" si="2"/>
        <v>2.0818896105951898</v>
      </c>
    </row>
    <row r="22" spans="2:12" ht="15" customHeight="1" x14ac:dyDescent="0.2">
      <c r="B22" s="624" t="s">
        <v>296</v>
      </c>
      <c r="C22" s="627">
        <f>'Section 15 data country'!$C$76</f>
        <v>2.89046</v>
      </c>
      <c r="D22" s="627">
        <f>'Section 15 data country'!$D$76</f>
        <v>4.9429799999999995</v>
      </c>
      <c r="E22" s="626">
        <f>'Section 15 data country'!$E$76</f>
        <v>9.7100000000000009</v>
      </c>
      <c r="F22" s="625">
        <f t="shared" si="0"/>
        <v>7.8334399999999995</v>
      </c>
      <c r="G22" s="25"/>
      <c r="H22" s="624" t="s">
        <v>296</v>
      </c>
      <c r="I22" s="623">
        <f>'Section 15 data country'!$G$57</f>
        <v>69.355919999999998</v>
      </c>
      <c r="J22" s="622">
        <f>'Section 15 data country'!$G$19</f>
        <v>100.85017000000001</v>
      </c>
      <c r="K22" s="621">
        <f t="shared" si="1"/>
        <v>11.294551351924969</v>
      </c>
      <c r="L22" s="620">
        <f t="shared" si="2"/>
        <v>7.7674038625814896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E37FF8B-D91B-4513-A172-DD10A6912320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11A8F164-A2BF-4148-AA96-FC942DAD14E2}">
            <xm:f>Sheet1!$D$5</xm:f>
            <xm:f>Sheet1!$E$5</xm:f>
            <x14:dxf>
              <numFmt numFmtId="174" formatCode="&quot;&lt; 0.1&quot;"/>
            </x14:dxf>
          </x14:cfRule>
          <xm:sqref>C8:D22 F8:F22 I8:J22</xm:sqref>
        </x14:conditionalFormatting>
      </x14:conditionalFormatting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966</v>
      </c>
      <c r="C3" t="s">
        <v>967</v>
      </c>
    </row>
    <row r="5" spans="2:12" ht="15" customHeight="1" x14ac:dyDescent="0.2">
      <c r="B5" s="1070" t="s">
        <v>738</v>
      </c>
      <c r="C5" s="1141" t="s">
        <v>653</v>
      </c>
      <c r="D5" s="1141"/>
      <c r="E5" s="1141"/>
      <c r="F5" s="1133"/>
      <c r="G5" s="25"/>
      <c r="H5" s="1070" t="s">
        <v>738</v>
      </c>
      <c r="I5" s="1021" t="s">
        <v>979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276</v>
      </c>
      <c r="J6" s="641" t="s">
        <v>277</v>
      </c>
      <c r="K6" s="641" t="s">
        <v>965</v>
      </c>
      <c r="L6" s="640" t="s">
        <v>651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598" t="s">
        <v>326</v>
      </c>
      <c r="J7" s="597" t="s">
        <v>326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15 data country'!$J$62</f>
        <v>1677.8589999999999</v>
      </c>
      <c r="D8" s="652">
        <f>'Section 15 data country'!$K$62</f>
        <v>10778.144</v>
      </c>
      <c r="E8" s="638">
        <f>'Section 15 data country'!$L$62</f>
        <v>5.8904734254558937</v>
      </c>
      <c r="F8" s="651">
        <f>SUM(C8,D8)</f>
        <v>12456.003000000001</v>
      </c>
      <c r="G8" s="25"/>
      <c r="H8" s="636" t="s">
        <v>721</v>
      </c>
      <c r="I8" s="65">
        <f>'Section 15 data country'!$N$43</f>
        <v>177942.09700000001</v>
      </c>
      <c r="J8" s="66">
        <f>'Section 15 data country'!$N$5</f>
        <v>267859.15499999997</v>
      </c>
      <c r="K8" s="55">
        <f>IF(I8=0,0,100*F8/I8)</f>
        <v>7.0000315889274924</v>
      </c>
      <c r="L8" s="56">
        <f>IF(J8=0,0,100*F8/J8)</f>
        <v>4.6502061876511194</v>
      </c>
    </row>
    <row r="9" spans="2:12" ht="15" customHeight="1" x14ac:dyDescent="0.2">
      <c r="B9" s="632" t="s">
        <v>286</v>
      </c>
      <c r="C9" s="650">
        <f>'Section 15 data country'!$J$63</f>
        <v>275.27499999999998</v>
      </c>
      <c r="D9" s="650">
        <f>'Section 15 data country'!$K$63</f>
        <v>1305.702</v>
      </c>
      <c r="E9" s="634">
        <f>'Section 15 data country'!$L$63</f>
        <v>16.46</v>
      </c>
      <c r="F9" s="649">
        <f t="shared" ref="F9:F22" si="0">SUM(C9,D9)</f>
        <v>1580.9769999999999</v>
      </c>
      <c r="G9" s="25"/>
      <c r="H9" s="632" t="s">
        <v>286</v>
      </c>
      <c r="I9" s="648">
        <f>'Section 15 data country'!$N$44</f>
        <v>7725.7210000000005</v>
      </c>
      <c r="J9" s="629">
        <f>'Section 15 data country'!$N$6</f>
        <v>16572.267</v>
      </c>
      <c r="K9" s="629">
        <f t="shared" ref="K9:K22" si="1">IF(I9=0,0,100*F9/I9)</f>
        <v>20.4638117270867</v>
      </c>
      <c r="L9" s="628">
        <f t="shared" ref="L9:L22" si="2">IF(J9=0,0,100*F9/J9)</f>
        <v>9.5398957788937384</v>
      </c>
    </row>
    <row r="10" spans="2:12" ht="15" customHeight="1" x14ac:dyDescent="0.2">
      <c r="B10" s="632" t="s">
        <v>298</v>
      </c>
      <c r="C10" s="650">
        <f>'Section 15 data country'!$J$64</f>
        <v>67.995000000000005</v>
      </c>
      <c r="D10" s="650">
        <f>'Section 15 data country'!$K$64</f>
        <v>1004.951</v>
      </c>
      <c r="E10" s="634">
        <f>'Section 15 data country'!$L$64</f>
        <v>18.43</v>
      </c>
      <c r="F10" s="649">
        <f t="shared" si="0"/>
        <v>1072.9459999999999</v>
      </c>
      <c r="G10" s="25"/>
      <c r="H10" s="632" t="s">
        <v>298</v>
      </c>
      <c r="I10" s="648">
        <f>'Section 15 data country'!$N$45</f>
        <v>17451.120000000003</v>
      </c>
      <c r="J10" s="629">
        <f>'Section 15 data country'!$N$7</f>
        <v>25733.827999999998</v>
      </c>
      <c r="K10" s="629">
        <f t="shared" si="1"/>
        <v>6.1482930608465232</v>
      </c>
      <c r="L10" s="628">
        <f t="shared" si="2"/>
        <v>4.1693991270944997</v>
      </c>
    </row>
    <row r="11" spans="2:12" ht="15" customHeight="1" x14ac:dyDescent="0.2">
      <c r="B11" s="632" t="s">
        <v>287</v>
      </c>
      <c r="C11" s="650">
        <f>'Section 15 data country'!$J$65</f>
        <v>34.968000000000004</v>
      </c>
      <c r="D11" s="650">
        <f>'Section 15 data country'!$K$65</f>
        <v>446.03300000000002</v>
      </c>
      <c r="E11" s="634">
        <f>'Section 15 data country'!$L$65</f>
        <v>21.56</v>
      </c>
      <c r="F11" s="649">
        <f t="shared" si="0"/>
        <v>481.00100000000003</v>
      </c>
      <c r="G11" s="25"/>
      <c r="H11" s="632" t="s">
        <v>287</v>
      </c>
      <c r="I11" s="648">
        <f>'Section 15 data country'!$N$46</f>
        <v>16181.21</v>
      </c>
      <c r="J11" s="629">
        <f>'Section 15 data country'!$N$8</f>
        <v>23650.592000000001</v>
      </c>
      <c r="K11" s="629">
        <f t="shared" si="1"/>
        <v>2.9725898125047512</v>
      </c>
      <c r="L11" s="628">
        <f t="shared" si="2"/>
        <v>2.0337799578124729</v>
      </c>
    </row>
    <row r="12" spans="2:12" ht="15" customHeight="1" x14ac:dyDescent="0.2">
      <c r="B12" s="632" t="s">
        <v>288</v>
      </c>
      <c r="C12" s="650">
        <f>'Section 15 data country'!$J$66</f>
        <v>35.945999999999998</v>
      </c>
      <c r="D12" s="650">
        <f>'Section 15 data country'!$K$66</f>
        <v>451.87700000000001</v>
      </c>
      <c r="E12" s="634">
        <f>'Section 15 data country'!$L$66</f>
        <v>37.299999999999997</v>
      </c>
      <c r="F12" s="649">
        <f t="shared" si="0"/>
        <v>487.82299999999998</v>
      </c>
      <c r="G12" s="25"/>
      <c r="H12" s="632" t="s">
        <v>288</v>
      </c>
      <c r="I12" s="648">
        <f>'Section 15 data country'!$N$47</f>
        <v>6148.63</v>
      </c>
      <c r="J12" s="629">
        <f>'Section 15 data country'!$N$9</f>
        <v>9648.25</v>
      </c>
      <c r="K12" s="629">
        <f t="shared" si="1"/>
        <v>7.9338486784861013</v>
      </c>
      <c r="L12" s="628">
        <f t="shared" si="2"/>
        <v>5.0560775270126701</v>
      </c>
    </row>
    <row r="13" spans="2:12" ht="15" customHeight="1" x14ac:dyDescent="0.2">
      <c r="B13" s="632" t="s">
        <v>301</v>
      </c>
      <c r="C13" s="650">
        <f>'Section 15 data country'!$J$67</f>
        <v>10.670999999999999</v>
      </c>
      <c r="D13" s="650">
        <f>'Section 15 data country'!$K$67</f>
        <v>180.87899999999999</v>
      </c>
      <c r="E13" s="634">
        <f>'Section 15 data country'!$L$67</f>
        <v>33.78</v>
      </c>
      <c r="F13" s="649">
        <f t="shared" si="0"/>
        <v>191.54999999999998</v>
      </c>
      <c r="G13" s="25"/>
      <c r="H13" s="632" t="s">
        <v>301</v>
      </c>
      <c r="I13" s="648">
        <f>'Section 15 data country'!$N$48</f>
        <v>4046.2580000000003</v>
      </c>
      <c r="J13" s="629">
        <f>'Section 15 data country'!$N$10</f>
        <v>4775.491</v>
      </c>
      <c r="K13" s="629">
        <f t="shared" si="1"/>
        <v>4.7340036151921101</v>
      </c>
      <c r="L13" s="628">
        <f t="shared" si="2"/>
        <v>4.0111058737206289</v>
      </c>
    </row>
    <row r="14" spans="2:12" ht="15" customHeight="1" x14ac:dyDescent="0.2">
      <c r="B14" s="632" t="s">
        <v>302</v>
      </c>
      <c r="C14" s="650">
        <f>'Section 15 data country'!$J$68</f>
        <v>13.875999999999999</v>
      </c>
      <c r="D14" s="650">
        <f>'Section 15 data country'!$K$68</f>
        <v>310.005</v>
      </c>
      <c r="E14" s="634">
        <f>'Section 15 data country'!$L$68</f>
        <v>33.4</v>
      </c>
      <c r="F14" s="649">
        <f t="shared" si="0"/>
        <v>323.88099999999997</v>
      </c>
      <c r="G14" s="25"/>
      <c r="H14" s="632" t="s">
        <v>302</v>
      </c>
      <c r="I14" s="648">
        <f>'Section 15 data country'!$N$49</f>
        <v>5489.2429999999995</v>
      </c>
      <c r="J14" s="629">
        <f>'Section 15 data country'!$N$11</f>
        <v>6465.1950000000006</v>
      </c>
      <c r="K14" s="629">
        <f t="shared" si="1"/>
        <v>5.9002853398911288</v>
      </c>
      <c r="L14" s="628">
        <f t="shared" si="2"/>
        <v>5.0096091455864817</v>
      </c>
    </row>
    <row r="15" spans="2:12" ht="15" customHeight="1" x14ac:dyDescent="0.2">
      <c r="B15" s="632" t="s">
        <v>303</v>
      </c>
      <c r="C15" s="650">
        <f>'Section 15 data country'!$J$69</f>
        <v>26.117000000000001</v>
      </c>
      <c r="D15" s="650">
        <f>'Section 15 data country'!$K$69</f>
        <v>461.41399999999999</v>
      </c>
      <c r="E15" s="634">
        <f>'Section 15 data country'!$L$69</f>
        <v>26.33</v>
      </c>
      <c r="F15" s="649">
        <f t="shared" si="0"/>
        <v>487.53100000000001</v>
      </c>
      <c r="G15" s="25"/>
      <c r="H15" s="632" t="s">
        <v>303</v>
      </c>
      <c r="I15" s="648">
        <f>'Section 15 data country'!$N$50</f>
        <v>17221.775000000001</v>
      </c>
      <c r="J15" s="629">
        <f>'Section 15 data country'!$N$12</f>
        <v>20587.675000000003</v>
      </c>
      <c r="K15" s="629">
        <f t="shared" si="1"/>
        <v>2.8308986733365171</v>
      </c>
      <c r="L15" s="628">
        <f t="shared" si="2"/>
        <v>2.3680721596780594</v>
      </c>
    </row>
    <row r="16" spans="2:12" ht="15" customHeight="1" x14ac:dyDescent="0.2">
      <c r="B16" s="632" t="s">
        <v>304</v>
      </c>
      <c r="C16" s="650">
        <f>'Section 15 data country'!$J$70</f>
        <v>15.483000000000001</v>
      </c>
      <c r="D16" s="650">
        <f>'Section 15 data country'!$K$70</f>
        <v>178.524</v>
      </c>
      <c r="E16" s="634">
        <f>'Section 15 data country'!$L$70</f>
        <v>28.62</v>
      </c>
      <c r="F16" s="649">
        <f t="shared" si="0"/>
        <v>194.00700000000001</v>
      </c>
      <c r="G16" s="25"/>
      <c r="H16" s="632" t="s">
        <v>304</v>
      </c>
      <c r="I16" s="648">
        <f>'Section 15 data country'!$N$51</f>
        <v>7404.7919999999995</v>
      </c>
      <c r="J16" s="629">
        <f>'Section 15 data country'!$N$13</f>
        <v>9282.0709999999999</v>
      </c>
      <c r="K16" s="629">
        <f t="shared" si="1"/>
        <v>2.6200195765120751</v>
      </c>
      <c r="L16" s="628">
        <f t="shared" si="2"/>
        <v>2.0901262229086592</v>
      </c>
    </row>
    <row r="17" spans="2:12" ht="15" customHeight="1" x14ac:dyDescent="0.2">
      <c r="B17" s="632" t="s">
        <v>291</v>
      </c>
      <c r="C17" s="650">
        <f>'Section 15 data country'!$J$71</f>
        <v>173.82599999999999</v>
      </c>
      <c r="D17" s="650">
        <f>'Section 15 data country'!$K$71</f>
        <v>1171.6569999999999</v>
      </c>
      <c r="E17" s="634">
        <f>'Section 15 data country'!$L$71</f>
        <v>26.85</v>
      </c>
      <c r="F17" s="649">
        <f t="shared" si="0"/>
        <v>1345.4829999999999</v>
      </c>
      <c r="G17" s="25"/>
      <c r="H17" s="632" t="s">
        <v>291</v>
      </c>
      <c r="I17" s="648">
        <f>'Section 15 data country'!$N$52</f>
        <v>5556.7159999999994</v>
      </c>
      <c r="J17" s="629">
        <f>'Section 15 data country'!$N$14</f>
        <v>20394.612999999998</v>
      </c>
      <c r="K17" s="629">
        <f t="shared" si="1"/>
        <v>24.213636255658919</v>
      </c>
      <c r="L17" s="628">
        <f t="shared" si="2"/>
        <v>6.5972470279284048</v>
      </c>
    </row>
    <row r="18" spans="2:12" ht="15" customHeight="1" x14ac:dyDescent="0.2">
      <c r="B18" s="632" t="s">
        <v>292</v>
      </c>
      <c r="C18" s="650">
        <f>'Section 15 data country'!$J$72</f>
        <v>69.301000000000002</v>
      </c>
      <c r="D18" s="650">
        <f>'Section 15 data country'!$K$72</f>
        <v>603.86300000000006</v>
      </c>
      <c r="E18" s="634">
        <f>'Section 15 data country'!$L$72</f>
        <v>19.579999999999998</v>
      </c>
      <c r="F18" s="649">
        <f t="shared" si="0"/>
        <v>673.1640000000001</v>
      </c>
      <c r="G18" s="25"/>
      <c r="H18" s="632" t="s">
        <v>292</v>
      </c>
      <c r="I18" s="648">
        <f>'Section 15 data country'!$N$53</f>
        <v>21854.725999999999</v>
      </c>
      <c r="J18" s="629">
        <f>'Section 15 data country'!$N$15</f>
        <v>28762.093000000001</v>
      </c>
      <c r="K18" s="629">
        <f t="shared" si="1"/>
        <v>3.0801758850694361</v>
      </c>
      <c r="L18" s="628">
        <f t="shared" si="2"/>
        <v>2.3404555433431082</v>
      </c>
    </row>
    <row r="19" spans="2:12" ht="15" customHeight="1" x14ac:dyDescent="0.2">
      <c r="B19" s="632" t="s">
        <v>293</v>
      </c>
      <c r="C19" s="650">
        <f>'Section 15 data country'!$J$73</f>
        <v>15.005000000000001</v>
      </c>
      <c r="D19" s="650">
        <f>'Section 15 data country'!$K$73</f>
        <v>894.21600000000001</v>
      </c>
      <c r="E19" s="634">
        <f>'Section 15 data country'!$L$73</f>
        <v>18.600000000000001</v>
      </c>
      <c r="F19" s="649">
        <f t="shared" si="0"/>
        <v>909.221</v>
      </c>
      <c r="G19" s="25"/>
      <c r="H19" s="632" t="s">
        <v>293</v>
      </c>
      <c r="I19" s="648">
        <f>'Section 15 data country'!$N$54</f>
        <v>16691.351999999999</v>
      </c>
      <c r="J19" s="629">
        <f>'Section 15 data country'!$N$16</f>
        <v>22055.275000000001</v>
      </c>
      <c r="K19" s="629">
        <f t="shared" si="1"/>
        <v>5.4472579572942932</v>
      </c>
      <c r="L19" s="628">
        <f t="shared" si="2"/>
        <v>4.1224650338751161</v>
      </c>
    </row>
    <row r="20" spans="2:12" ht="15" customHeight="1" x14ac:dyDescent="0.2">
      <c r="B20" s="632" t="s">
        <v>294</v>
      </c>
      <c r="C20" s="650">
        <f>'Section 15 data country'!$J$74</f>
        <v>392.97300000000001</v>
      </c>
      <c r="D20" s="650">
        <f>'Section 15 data country'!$K$74</f>
        <v>1134.7090000000001</v>
      </c>
      <c r="E20" s="634">
        <f>'Section 15 data country'!$L$74</f>
        <v>17.32</v>
      </c>
      <c r="F20" s="649">
        <f t="shared" si="0"/>
        <v>1527.682</v>
      </c>
      <c r="G20" s="25"/>
      <c r="H20" s="632" t="s">
        <v>294</v>
      </c>
      <c r="I20" s="648">
        <f>'Section 15 data country'!$N$55</f>
        <v>17864.198</v>
      </c>
      <c r="J20" s="629">
        <f>'Section 15 data country'!$N$17</f>
        <v>25541.550999999999</v>
      </c>
      <c r="K20" s="629">
        <f t="shared" si="1"/>
        <v>8.5516405494386039</v>
      </c>
      <c r="L20" s="628">
        <f t="shared" si="2"/>
        <v>5.9811637907188961</v>
      </c>
    </row>
    <row r="21" spans="2:12" ht="15" customHeight="1" x14ac:dyDescent="0.2">
      <c r="B21" s="632" t="s">
        <v>295</v>
      </c>
      <c r="C21" s="650">
        <f>'Section 15 data country'!$J$75</f>
        <v>80.790999999999997</v>
      </c>
      <c r="D21" s="650">
        <f>'Section 15 data country'!$K$75</f>
        <v>1042.3920000000001</v>
      </c>
      <c r="E21" s="634">
        <f>'Section 15 data country'!$L$75</f>
        <v>19.45</v>
      </c>
      <c r="F21" s="649">
        <f t="shared" si="0"/>
        <v>1123.183</v>
      </c>
      <c r="G21" s="25"/>
      <c r="H21" s="632" t="s">
        <v>295</v>
      </c>
      <c r="I21" s="648">
        <f>'Section 15 data country'!$N$56</f>
        <v>22718.856</v>
      </c>
      <c r="J21" s="629">
        <f>'Section 15 data country'!$N$18</f>
        <v>34428.548000000003</v>
      </c>
      <c r="K21" s="629">
        <f t="shared" si="1"/>
        <v>4.9438360804787003</v>
      </c>
      <c r="L21" s="628">
        <f t="shared" si="2"/>
        <v>3.2623594814396468</v>
      </c>
    </row>
    <row r="22" spans="2:12" ht="15" customHeight="1" x14ac:dyDescent="0.2">
      <c r="B22" s="624" t="s">
        <v>296</v>
      </c>
      <c r="C22" s="647">
        <f>'Section 15 data country'!$J$76</f>
        <v>465.63200000000001</v>
      </c>
      <c r="D22" s="647">
        <f>'Section 15 data country'!$K$76</f>
        <v>1591.922</v>
      </c>
      <c r="E22" s="626">
        <f>'Section 15 data country'!$L$76</f>
        <v>11.37</v>
      </c>
      <c r="F22" s="646">
        <f t="shared" si="0"/>
        <v>2057.5540000000001</v>
      </c>
      <c r="G22" s="25"/>
      <c r="H22" s="624" t="s">
        <v>296</v>
      </c>
      <c r="I22" s="645">
        <f>'Section 15 data country'!$N$57</f>
        <v>11587.5</v>
      </c>
      <c r="J22" s="621">
        <f>'Section 15 data country'!$N$19</f>
        <v>19961.705999999998</v>
      </c>
      <c r="K22" s="621">
        <f t="shared" si="1"/>
        <v>17.75666882416397</v>
      </c>
      <c r="L22" s="620">
        <f t="shared" si="2"/>
        <v>10.307505781319495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2EC5D4-D8C0-4898-B16B-E0DC7715E0DC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1D5D3C68-4759-4908-AF32-A5748BC4CA0F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22"/>
  <sheetViews>
    <sheetView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25.625" customWidth="1"/>
    <col min="9" max="12" width="12.625" customWidth="1"/>
  </cols>
  <sheetData>
    <row r="3" spans="2:12" ht="15" customHeight="1" x14ac:dyDescent="0.2">
      <c r="B3" t="s">
        <v>969</v>
      </c>
      <c r="C3" t="s">
        <v>968</v>
      </c>
    </row>
    <row r="5" spans="2:12" ht="15" customHeight="1" x14ac:dyDescent="0.2">
      <c r="B5" s="1070" t="s">
        <v>739</v>
      </c>
      <c r="C5" s="1141" t="s">
        <v>970</v>
      </c>
      <c r="D5" s="1141"/>
      <c r="E5" s="1141"/>
      <c r="F5" s="1133"/>
      <c r="G5" s="25"/>
      <c r="H5" s="1070" t="s">
        <v>738</v>
      </c>
      <c r="I5" s="1021" t="s">
        <v>978</v>
      </c>
      <c r="J5" s="1089"/>
      <c r="K5" s="1089"/>
      <c r="L5" s="1018"/>
    </row>
    <row r="6" spans="2:12" ht="45" customHeight="1" x14ac:dyDescent="0.2">
      <c r="B6" s="1155"/>
      <c r="C6" s="644" t="s">
        <v>78</v>
      </c>
      <c r="D6" s="1154" t="s">
        <v>79</v>
      </c>
      <c r="E6" s="1154"/>
      <c r="F6" s="643" t="s">
        <v>275</v>
      </c>
      <c r="G6" s="25"/>
      <c r="H6" s="1155"/>
      <c r="I6" s="642" t="s">
        <v>669</v>
      </c>
      <c r="J6" s="641" t="s">
        <v>277</v>
      </c>
      <c r="K6" s="641" t="s">
        <v>670</v>
      </c>
      <c r="L6" s="640" t="s">
        <v>651</v>
      </c>
    </row>
    <row r="7" spans="2:12" ht="45" customHeight="1" x14ac:dyDescent="0.2">
      <c r="B7" s="1155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1155"/>
      <c r="I7" s="598" t="s">
        <v>271</v>
      </c>
      <c r="J7" s="597" t="s">
        <v>271</v>
      </c>
      <c r="K7" s="599" t="s">
        <v>280</v>
      </c>
      <c r="L7" s="600" t="s">
        <v>280</v>
      </c>
    </row>
    <row r="8" spans="2:12" ht="15" customHeight="1" x14ac:dyDescent="0.2">
      <c r="B8" s="636" t="s">
        <v>721</v>
      </c>
      <c r="C8" s="652">
        <f>'Section 15 data country'!$Q$62</f>
        <v>10839.898999999999</v>
      </c>
      <c r="D8" s="652">
        <f>'Section 15 data country'!$R$62</f>
        <v>20891.810000000001</v>
      </c>
      <c r="E8" s="638">
        <f>'Section 15 data country'!$S$62</f>
        <v>10.125367505067075</v>
      </c>
      <c r="F8" s="651">
        <f>SUM(C8,D8)</f>
        <v>31731.709000000003</v>
      </c>
      <c r="G8" s="25"/>
      <c r="H8" s="636" t="s">
        <v>721</v>
      </c>
      <c r="I8" s="65">
        <f>'Section 15 data country'!$U$43</f>
        <v>1041478.706</v>
      </c>
      <c r="J8" s="66">
        <f>'Section 15 data country'!$U$5</f>
        <v>1347450.7200000002</v>
      </c>
      <c r="K8" s="55">
        <f>IF(I8=0,0,100*F8/I8)</f>
        <v>3.0467938343042804</v>
      </c>
      <c r="L8" s="56">
        <f>IF(J8=0,0,100*F8/J8)</f>
        <v>2.3549439344245555</v>
      </c>
    </row>
    <row r="9" spans="2:12" ht="15" customHeight="1" x14ac:dyDescent="0.2">
      <c r="B9" s="632" t="s">
        <v>286</v>
      </c>
      <c r="C9" s="650">
        <f>'Section 15 data country'!$Q$63</f>
        <v>1784.9590000000001</v>
      </c>
      <c r="D9" s="650">
        <f>'Section 15 data country'!$R$63</f>
        <v>2695.598</v>
      </c>
      <c r="E9" s="634">
        <f>'Section 15 data country'!$S$63</f>
        <v>89.15</v>
      </c>
      <c r="F9" s="649">
        <f t="shared" ref="F9:F22" si="0">SUM(C9,D9)</f>
        <v>4480.5569999999998</v>
      </c>
      <c r="G9" s="25"/>
      <c r="H9" s="632" t="s">
        <v>286</v>
      </c>
      <c r="I9" s="648">
        <f>'Section 15 data country'!$U$44</f>
        <v>49491.281999999999</v>
      </c>
      <c r="J9" s="629">
        <f>'Section 15 data country'!$U$6</f>
        <v>88711.834000000003</v>
      </c>
      <c r="K9" s="629">
        <f t="shared" ref="K9:K22" si="1">IF(I9=0,0,100*F9/I9)</f>
        <v>9.0532247679500397</v>
      </c>
      <c r="L9" s="628">
        <f t="shared" ref="L9:L22" si="2">IF(J9=0,0,100*F9/J9)</f>
        <v>5.0506869241368628</v>
      </c>
    </row>
    <row r="10" spans="2:12" ht="15" customHeight="1" x14ac:dyDescent="0.2">
      <c r="B10" s="632" t="s">
        <v>298</v>
      </c>
      <c r="C10" s="650">
        <f>'Section 15 data country'!$Q$64</f>
        <v>726.09199999999998</v>
      </c>
      <c r="D10" s="650">
        <f>'Section 15 data country'!$R$64</f>
        <v>1751.463</v>
      </c>
      <c r="E10" s="634">
        <f>'Section 15 data country'!$S$64</f>
        <v>20.309999999999999</v>
      </c>
      <c r="F10" s="649">
        <f t="shared" si="0"/>
        <v>2477.5549999999998</v>
      </c>
      <c r="G10" s="25"/>
      <c r="H10" s="632" t="s">
        <v>298</v>
      </c>
      <c r="I10" s="648">
        <f>'Section 15 data country'!$U$45</f>
        <v>101036.16800000001</v>
      </c>
      <c r="J10" s="629">
        <f>'Section 15 data country'!$U$7</f>
        <v>124156.857</v>
      </c>
      <c r="K10" s="629">
        <f t="shared" si="1"/>
        <v>2.4521466411909048</v>
      </c>
      <c r="L10" s="628">
        <f t="shared" si="2"/>
        <v>1.9955039615733827</v>
      </c>
    </row>
    <row r="11" spans="2:12" ht="15" customHeight="1" x14ac:dyDescent="0.2">
      <c r="B11" s="632" t="s">
        <v>287</v>
      </c>
      <c r="C11" s="650">
        <f>'Section 15 data country'!$Q$65</f>
        <v>143.00899999999999</v>
      </c>
      <c r="D11" s="650">
        <f>'Section 15 data country'!$R$65</f>
        <v>980.11400000000003</v>
      </c>
      <c r="E11" s="634">
        <f>'Section 15 data country'!$S$65</f>
        <v>21.03</v>
      </c>
      <c r="F11" s="649">
        <f t="shared" si="0"/>
        <v>1123.123</v>
      </c>
      <c r="G11" s="25"/>
      <c r="H11" s="632" t="s">
        <v>287</v>
      </c>
      <c r="I11" s="648">
        <f>'Section 15 data country'!$U$46</f>
        <v>99653.861000000004</v>
      </c>
      <c r="J11" s="629">
        <f>'Section 15 data country'!$U$8</f>
        <v>129036.50900000001</v>
      </c>
      <c r="K11" s="629">
        <f t="shared" si="1"/>
        <v>1.1270240698451213</v>
      </c>
      <c r="L11" s="628">
        <f t="shared" si="2"/>
        <v>0.87039165016468323</v>
      </c>
    </row>
    <row r="12" spans="2:12" ht="15" customHeight="1" x14ac:dyDescent="0.2">
      <c r="B12" s="632" t="s">
        <v>288</v>
      </c>
      <c r="C12" s="650">
        <f>'Section 15 data country'!$Q$66</f>
        <v>202.39</v>
      </c>
      <c r="D12" s="650">
        <f>'Section 15 data country'!$R$66</f>
        <v>591.33100000000002</v>
      </c>
      <c r="E12" s="634">
        <f>'Section 15 data country'!$S$66</f>
        <v>38.74</v>
      </c>
      <c r="F12" s="649">
        <f t="shared" si="0"/>
        <v>793.721</v>
      </c>
      <c r="G12" s="25"/>
      <c r="H12" s="632" t="s">
        <v>288</v>
      </c>
      <c r="I12" s="648">
        <f>'Section 15 data country'!$U$47</f>
        <v>41422.396000000001</v>
      </c>
      <c r="J12" s="629">
        <f>'Section 15 data country'!$U$9</f>
        <v>50700.447</v>
      </c>
      <c r="K12" s="629">
        <f t="shared" si="1"/>
        <v>1.9161639032179598</v>
      </c>
      <c r="L12" s="628">
        <f t="shared" si="2"/>
        <v>1.5655108523993881</v>
      </c>
    </row>
    <row r="13" spans="2:12" ht="15" customHeight="1" x14ac:dyDescent="0.2">
      <c r="B13" s="632" t="s">
        <v>301</v>
      </c>
      <c r="C13" s="650">
        <f>'Section 15 data country'!$Q$67</f>
        <v>73.296000000000006</v>
      </c>
      <c r="D13" s="650">
        <f>'Section 15 data country'!$R$67</f>
        <v>457.08800000000002</v>
      </c>
      <c r="E13" s="634">
        <f>'Section 15 data country'!$S$67</f>
        <v>109.31</v>
      </c>
      <c r="F13" s="649">
        <f t="shared" si="0"/>
        <v>530.38400000000001</v>
      </c>
      <c r="G13" s="25"/>
      <c r="H13" s="632" t="s">
        <v>301</v>
      </c>
      <c r="I13" s="648">
        <f>'Section 15 data country'!$U$48</f>
        <v>21688.277999999998</v>
      </c>
      <c r="J13" s="629">
        <f>'Section 15 data country'!$U$10</f>
        <v>23832.075999999997</v>
      </c>
      <c r="K13" s="629">
        <f t="shared" si="1"/>
        <v>2.4454869123311682</v>
      </c>
      <c r="L13" s="628">
        <f t="shared" si="2"/>
        <v>2.2255048196388771</v>
      </c>
    </row>
    <row r="14" spans="2:12" ht="15" customHeight="1" x14ac:dyDescent="0.2">
      <c r="B14" s="632" t="s">
        <v>302</v>
      </c>
      <c r="C14" s="650">
        <f>'Section 15 data country'!$Q$68</f>
        <v>82.132999999999996</v>
      </c>
      <c r="D14" s="650">
        <f>'Section 15 data country'!$R$68</f>
        <v>494.935</v>
      </c>
      <c r="E14" s="634">
        <f>'Section 15 data country'!$S$68</f>
        <v>80.099999999999994</v>
      </c>
      <c r="F14" s="649">
        <f t="shared" si="0"/>
        <v>577.06799999999998</v>
      </c>
      <c r="G14" s="25"/>
      <c r="H14" s="632" t="s">
        <v>302</v>
      </c>
      <c r="I14" s="648">
        <f>'Section 15 data country'!$U$49</f>
        <v>27971.547999999999</v>
      </c>
      <c r="J14" s="629">
        <f>'Section 15 data country'!$U$11</f>
        <v>30174.713000000003</v>
      </c>
      <c r="K14" s="629">
        <f t="shared" si="1"/>
        <v>2.0630534999350054</v>
      </c>
      <c r="L14" s="628">
        <f t="shared" si="2"/>
        <v>1.9124224976058593</v>
      </c>
    </row>
    <row r="15" spans="2:12" ht="15" customHeight="1" x14ac:dyDescent="0.2">
      <c r="B15" s="632" t="s">
        <v>303</v>
      </c>
      <c r="C15" s="650">
        <f>'Section 15 data country'!$Q$69</f>
        <v>151.732</v>
      </c>
      <c r="D15" s="650">
        <f>'Section 15 data country'!$R$69</f>
        <v>1232.0509999999999</v>
      </c>
      <c r="E15" s="634">
        <f>'Section 15 data country'!$S$69</f>
        <v>15.3</v>
      </c>
      <c r="F15" s="649">
        <f t="shared" si="0"/>
        <v>1383.7829999999999</v>
      </c>
      <c r="G15" s="25"/>
      <c r="H15" s="632" t="s">
        <v>303</v>
      </c>
      <c r="I15" s="648">
        <f>'Section 15 data country'!$U$50</f>
        <v>125248.374</v>
      </c>
      <c r="J15" s="629">
        <f>'Section 15 data country'!$U$12</f>
        <v>134691.53</v>
      </c>
      <c r="K15" s="629">
        <f t="shared" si="1"/>
        <v>1.1048311094242229</v>
      </c>
      <c r="L15" s="628">
        <f t="shared" si="2"/>
        <v>1.0273719513023571</v>
      </c>
    </row>
    <row r="16" spans="2:12" ht="15" customHeight="1" x14ac:dyDescent="0.2">
      <c r="B16" s="632" t="s">
        <v>304</v>
      </c>
      <c r="C16" s="650">
        <f>'Section 15 data country'!$Q$70</f>
        <v>117.40600000000001</v>
      </c>
      <c r="D16" s="650">
        <f>'Section 15 data country'!$R$70</f>
        <v>411.88200000000001</v>
      </c>
      <c r="E16" s="634">
        <f>'Section 15 data country'!$S$70</f>
        <v>75.58</v>
      </c>
      <c r="F16" s="649">
        <f t="shared" si="0"/>
        <v>529.28800000000001</v>
      </c>
      <c r="G16" s="25"/>
      <c r="H16" s="632" t="s">
        <v>304</v>
      </c>
      <c r="I16" s="648">
        <f>'Section 15 data country'!$U$51</f>
        <v>46181.748999999996</v>
      </c>
      <c r="J16" s="629">
        <f>'Section 15 data country'!$U$13</f>
        <v>52731.939999999995</v>
      </c>
      <c r="K16" s="629">
        <f t="shared" si="1"/>
        <v>1.1460977798826979</v>
      </c>
      <c r="L16" s="628">
        <f t="shared" si="2"/>
        <v>1.0037332212696899</v>
      </c>
    </row>
    <row r="17" spans="2:12" ht="15" customHeight="1" x14ac:dyDescent="0.2">
      <c r="B17" s="632" t="s">
        <v>291</v>
      </c>
      <c r="C17" s="650">
        <f>'Section 15 data country'!$Q$71</f>
        <v>1762.4690000000001</v>
      </c>
      <c r="D17" s="650">
        <f>'Section 15 data country'!$R$71</f>
        <v>2326.7919999999999</v>
      </c>
      <c r="E17" s="634">
        <f>'Section 15 data country'!$S$71</f>
        <v>0</v>
      </c>
      <c r="F17" s="649">
        <f t="shared" si="0"/>
        <v>4089.261</v>
      </c>
      <c r="G17" s="25"/>
      <c r="H17" s="632" t="s">
        <v>291</v>
      </c>
      <c r="I17" s="648">
        <f>'Section 15 data country'!$U$52</f>
        <v>50374.337</v>
      </c>
      <c r="J17" s="629">
        <f>'Section 15 data country'!$U$14</f>
        <v>136668.861</v>
      </c>
      <c r="K17" s="629">
        <f t="shared" si="1"/>
        <v>8.1177465422522577</v>
      </c>
      <c r="L17" s="628">
        <f t="shared" si="2"/>
        <v>2.9920941537663066</v>
      </c>
    </row>
    <row r="18" spans="2:12" ht="15" customHeight="1" x14ac:dyDescent="0.2">
      <c r="B18" s="632" t="s">
        <v>292</v>
      </c>
      <c r="C18" s="650">
        <f>'Section 15 data country'!$Q$72</f>
        <v>296.827</v>
      </c>
      <c r="D18" s="650">
        <f>'Section 15 data country'!$R$72</f>
        <v>1197.4659999999999</v>
      </c>
      <c r="E18" s="634">
        <f>'Section 15 data country'!$S$72</f>
        <v>25.53</v>
      </c>
      <c r="F18" s="649">
        <f t="shared" si="0"/>
        <v>1494.2929999999999</v>
      </c>
      <c r="G18" s="25"/>
      <c r="H18" s="632" t="s">
        <v>292</v>
      </c>
      <c r="I18" s="648">
        <f>'Section 15 data country'!$U$53</f>
        <v>108875.016</v>
      </c>
      <c r="J18" s="629">
        <f>'Section 15 data country'!$U$15</f>
        <v>127563.79300000001</v>
      </c>
      <c r="K18" s="629">
        <f t="shared" si="1"/>
        <v>1.3724847581193464</v>
      </c>
      <c r="L18" s="628">
        <f t="shared" si="2"/>
        <v>1.171408410535425</v>
      </c>
    </row>
    <row r="19" spans="2:12" ht="15" customHeight="1" x14ac:dyDescent="0.2">
      <c r="B19" s="632" t="s">
        <v>293</v>
      </c>
      <c r="C19" s="650">
        <f>'Section 15 data country'!$Q$73</f>
        <v>57.790999999999997</v>
      </c>
      <c r="D19" s="650">
        <f>'Section 15 data country'!$R$73</f>
        <v>1540.3689999999999</v>
      </c>
      <c r="E19" s="634">
        <f>'Section 15 data country'!$S$73</f>
        <v>24.32</v>
      </c>
      <c r="F19" s="649">
        <f t="shared" si="0"/>
        <v>1598.1599999999999</v>
      </c>
      <c r="G19" s="25"/>
      <c r="H19" s="632" t="s">
        <v>293</v>
      </c>
      <c r="I19" s="648">
        <f>'Section 15 data country'!$U$54</f>
        <v>82949.718999999997</v>
      </c>
      <c r="J19" s="629">
        <f>'Section 15 data country'!$U$16</f>
        <v>94267.02</v>
      </c>
      <c r="K19" s="629">
        <f t="shared" si="1"/>
        <v>1.9266611379358622</v>
      </c>
      <c r="L19" s="628">
        <f t="shared" si="2"/>
        <v>1.695354324343763</v>
      </c>
    </row>
    <row r="20" spans="2:12" ht="15" customHeight="1" x14ac:dyDescent="0.2">
      <c r="B20" s="632" t="s">
        <v>294</v>
      </c>
      <c r="C20" s="650">
        <f>'Section 15 data country'!$Q$74</f>
        <v>2081.08</v>
      </c>
      <c r="D20" s="650">
        <f>'Section 15 data country'!$R$74</f>
        <v>1719.979</v>
      </c>
      <c r="E20" s="634">
        <f>'Section 15 data country'!$S$74</f>
        <v>29.78</v>
      </c>
      <c r="F20" s="649">
        <f t="shared" si="0"/>
        <v>3801.0590000000002</v>
      </c>
      <c r="G20" s="25"/>
      <c r="H20" s="632" t="s">
        <v>294</v>
      </c>
      <c r="I20" s="648">
        <f>'Section 15 data country'!$U$55</f>
        <v>90018.031000000003</v>
      </c>
      <c r="J20" s="629">
        <f>'Section 15 data country'!$U$17</f>
        <v>105231.709</v>
      </c>
      <c r="K20" s="629">
        <f t="shared" si="1"/>
        <v>4.2225529238692188</v>
      </c>
      <c r="L20" s="628">
        <f t="shared" si="2"/>
        <v>3.6120852128325693</v>
      </c>
    </row>
    <row r="21" spans="2:12" ht="15" customHeight="1" x14ac:dyDescent="0.2">
      <c r="B21" s="632" t="s">
        <v>295</v>
      </c>
      <c r="C21" s="650">
        <f>'Section 15 data country'!$Q$75</f>
        <v>451.92399999999998</v>
      </c>
      <c r="D21" s="650">
        <f>'Section 15 data country'!$R$75</f>
        <v>1498.3969999999999</v>
      </c>
      <c r="E21" s="634">
        <f>'Section 15 data country'!$S$75</f>
        <v>33.19</v>
      </c>
      <c r="F21" s="649">
        <f t="shared" si="0"/>
        <v>1950.3209999999999</v>
      </c>
      <c r="G21" s="25"/>
      <c r="H21" s="632" t="s">
        <v>295</v>
      </c>
      <c r="I21" s="648">
        <f>'Section 15 data country'!$U$56</f>
        <v>118195.003</v>
      </c>
      <c r="J21" s="629">
        <f>'Section 15 data country'!$U$18</f>
        <v>139638.38500000001</v>
      </c>
      <c r="K21" s="629">
        <f t="shared" si="1"/>
        <v>1.6500875252738052</v>
      </c>
      <c r="L21" s="628">
        <f t="shared" si="2"/>
        <v>1.3966940393932512</v>
      </c>
    </row>
    <row r="22" spans="2:12" ht="15" customHeight="1" x14ac:dyDescent="0.2">
      <c r="B22" s="624" t="s">
        <v>296</v>
      </c>
      <c r="C22" s="647">
        <f>'Section 15 data country'!$Q$76</f>
        <v>2908.7910000000002</v>
      </c>
      <c r="D22" s="647">
        <f>'Section 15 data country'!$R$76</f>
        <v>3994.3449999999998</v>
      </c>
      <c r="E22" s="626">
        <f>'Section 15 data country'!$S$76</f>
        <v>53.05</v>
      </c>
      <c r="F22" s="646">
        <f t="shared" si="0"/>
        <v>6903.1360000000004</v>
      </c>
      <c r="G22" s="25"/>
      <c r="H22" s="624" t="s">
        <v>296</v>
      </c>
      <c r="I22" s="645">
        <f>'Section 15 data country'!$U$57</f>
        <v>78372.944000000003</v>
      </c>
      <c r="J22" s="621">
        <f>'Section 15 data country'!$U$19</f>
        <v>110045.046</v>
      </c>
      <c r="K22" s="621">
        <f t="shared" si="1"/>
        <v>8.8080600876751554</v>
      </c>
      <c r="L22" s="620">
        <f t="shared" si="2"/>
        <v>6.2730093274712253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CC653F9-3B47-439A-B40D-2AA66975A250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171A3612-36D2-4876-8813-400E4DC869CB}">
            <xm:f>Sheet1!$D$4</xm:f>
            <xm:f>Sheet1!$E$4</xm:f>
            <x14:dxf>
              <numFmt numFmtId="173" formatCode="&quot;&lt; 1&quot;"/>
            </x14:dxf>
          </x14:cfRule>
          <xm:sqref>C8:D22 F8:F22 I8:J22</xm:sqref>
        </x14:conditionalFormatting>
      </x14:conditionalFormattings>
    </ext>
  </extLst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Index!$E$176</f>
        <v>Appendix A – Aligned area nomenclature</v>
      </c>
    </row>
  </sheetData>
  <hyperlinks>
    <hyperlink ref="A1" location="Index!B176" display="Return to index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D21"/>
  <sheetViews>
    <sheetView workbookViewId="0"/>
  </sheetViews>
  <sheetFormatPr defaultRowHeight="15" customHeight="1" x14ac:dyDescent="0.2"/>
  <cols>
    <col min="2" max="2" width="40.625" customWidth="1"/>
    <col min="3" max="3" width="30.625" customWidth="1"/>
    <col min="4" max="4" width="20.625" customWidth="1"/>
  </cols>
  <sheetData>
    <row r="3" spans="2:4" ht="15" customHeight="1" x14ac:dyDescent="0.2">
      <c r="B3" t="s">
        <v>974</v>
      </c>
      <c r="C3" t="s">
        <v>977</v>
      </c>
    </row>
    <row r="5" spans="2:4" ht="15" customHeight="1" x14ac:dyDescent="0.2">
      <c r="B5" s="1033" t="s">
        <v>299</v>
      </c>
      <c r="C5" s="1033" t="s">
        <v>300</v>
      </c>
      <c r="D5" s="1033" t="s">
        <v>311</v>
      </c>
    </row>
    <row r="6" spans="2:4" ht="15" customHeight="1" x14ac:dyDescent="0.2">
      <c r="B6" s="1034"/>
      <c r="C6" s="1034"/>
      <c r="D6" s="1034"/>
    </row>
    <row r="7" spans="2:4" ht="15" customHeight="1" x14ac:dyDescent="0.2">
      <c r="B7" s="272"/>
      <c r="C7" s="272"/>
      <c r="D7" s="273"/>
    </row>
    <row r="8" spans="2:4" ht="15" customHeight="1" x14ac:dyDescent="0.2">
      <c r="B8" s="274" t="s">
        <v>286</v>
      </c>
      <c r="C8" s="274" t="s">
        <v>286</v>
      </c>
      <c r="D8" s="270" t="s">
        <v>313</v>
      </c>
    </row>
    <row r="9" spans="2:4" ht="15" customHeight="1" x14ac:dyDescent="0.2">
      <c r="B9" s="274" t="s">
        <v>307</v>
      </c>
      <c r="C9" s="274" t="s">
        <v>298</v>
      </c>
      <c r="D9" s="270" t="s">
        <v>325</v>
      </c>
    </row>
    <row r="10" spans="2:4" ht="15" customHeight="1" x14ac:dyDescent="0.2">
      <c r="B10" s="274" t="s">
        <v>287</v>
      </c>
      <c r="C10" s="274" t="s">
        <v>287</v>
      </c>
      <c r="D10" s="270" t="s">
        <v>319</v>
      </c>
    </row>
    <row r="11" spans="2:4" ht="15" customHeight="1" x14ac:dyDescent="0.2">
      <c r="B11" s="274" t="s">
        <v>288</v>
      </c>
      <c r="C11" s="274" t="s">
        <v>288</v>
      </c>
      <c r="D11" s="270" t="s">
        <v>317</v>
      </c>
    </row>
    <row r="12" spans="2:4" ht="15" customHeight="1" x14ac:dyDescent="0.2">
      <c r="B12" s="274" t="s">
        <v>305</v>
      </c>
      <c r="C12" s="274" t="s">
        <v>301</v>
      </c>
      <c r="D12" s="270" t="s">
        <v>315</v>
      </c>
    </row>
    <row r="13" spans="2:4" ht="15" customHeight="1" x14ac:dyDescent="0.2">
      <c r="B13" s="274" t="s">
        <v>289</v>
      </c>
      <c r="C13" s="274" t="s">
        <v>302</v>
      </c>
      <c r="D13" s="270" t="s">
        <v>320</v>
      </c>
    </row>
    <row r="14" spans="2:4" ht="15" customHeight="1" x14ac:dyDescent="0.2">
      <c r="B14" s="274" t="s">
        <v>306</v>
      </c>
      <c r="C14" s="274" t="s">
        <v>303</v>
      </c>
      <c r="D14" s="270" t="s">
        <v>321</v>
      </c>
    </row>
    <row r="15" spans="2:4" ht="15" customHeight="1" x14ac:dyDescent="0.2">
      <c r="B15" s="274" t="s">
        <v>290</v>
      </c>
      <c r="C15" s="274" t="s">
        <v>304</v>
      </c>
      <c r="D15" s="270" t="s">
        <v>318</v>
      </c>
    </row>
    <row r="16" spans="2:4" ht="15" customHeight="1" x14ac:dyDescent="0.2">
      <c r="B16" s="274" t="s">
        <v>291</v>
      </c>
      <c r="C16" s="274" t="s">
        <v>291</v>
      </c>
      <c r="D16" s="270" t="s">
        <v>312</v>
      </c>
    </row>
    <row r="17" spans="2:4" ht="15" customHeight="1" x14ac:dyDescent="0.2">
      <c r="B17" s="274" t="s">
        <v>292</v>
      </c>
      <c r="C17" s="274" t="s">
        <v>292</v>
      </c>
      <c r="D17" s="270" t="s">
        <v>322</v>
      </c>
    </row>
    <row r="18" spans="2:4" ht="15" customHeight="1" x14ac:dyDescent="0.2">
      <c r="B18" s="274" t="s">
        <v>293</v>
      </c>
      <c r="C18" s="274" t="s">
        <v>293</v>
      </c>
      <c r="D18" s="270" t="s">
        <v>323</v>
      </c>
    </row>
    <row r="19" spans="2:4" ht="15" customHeight="1" x14ac:dyDescent="0.2">
      <c r="B19" s="274" t="s">
        <v>294</v>
      </c>
      <c r="C19" s="274" t="s">
        <v>294</v>
      </c>
      <c r="D19" s="270" t="s">
        <v>324</v>
      </c>
    </row>
    <row r="20" spans="2:4" ht="15" customHeight="1" x14ac:dyDescent="0.2">
      <c r="B20" s="274" t="s">
        <v>295</v>
      </c>
      <c r="C20" s="274" t="s">
        <v>295</v>
      </c>
      <c r="D20" s="270" t="s">
        <v>316</v>
      </c>
    </row>
    <row r="21" spans="2:4" ht="15" customHeight="1" x14ac:dyDescent="0.2">
      <c r="B21" s="275" t="s">
        <v>296</v>
      </c>
      <c r="C21" s="275" t="s">
        <v>296</v>
      </c>
      <c r="D21" s="271" t="s">
        <v>314</v>
      </c>
    </row>
  </sheetData>
  <mergeCells count="3">
    <mergeCell ref="B5:B6"/>
    <mergeCell ref="C5:C6"/>
    <mergeCell ref="D5:D6"/>
  </mergeCells>
  <pageMargins left="0.7" right="0.7" top="0.75" bottom="0.75" header="0.3" footer="0.3"/>
  <pageSetup paperSize="9"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6"/>
  <sheetViews>
    <sheetView workbookViewId="0"/>
  </sheetViews>
  <sheetFormatPr defaultRowHeight="12.75" x14ac:dyDescent="0.2"/>
  <sheetData>
    <row r="3" spans="3:6" x14ac:dyDescent="0.2">
      <c r="C3" t="s">
        <v>769</v>
      </c>
      <c r="D3" t="s">
        <v>768</v>
      </c>
      <c r="E3" t="s">
        <v>767</v>
      </c>
      <c r="F3" t="s">
        <v>766</v>
      </c>
    </row>
    <row r="4" spans="3:6" x14ac:dyDescent="0.2">
      <c r="C4">
        <v>0</v>
      </c>
      <c r="D4">
        <v>1E-4</v>
      </c>
      <c r="E4">
        <v>1</v>
      </c>
      <c r="F4">
        <v>25</v>
      </c>
    </row>
    <row r="5" spans="3:6" x14ac:dyDescent="0.2">
      <c r="C5">
        <v>1</v>
      </c>
      <c r="D5">
        <v>1E-4</v>
      </c>
      <c r="E5">
        <v>0.1</v>
      </c>
      <c r="F5">
        <v>25</v>
      </c>
    </row>
    <row r="6" spans="3:6" x14ac:dyDescent="0.2">
      <c r="C6">
        <v>2</v>
      </c>
      <c r="D6">
        <v>1E-4</v>
      </c>
      <c r="E6">
        <v>0.01</v>
      </c>
      <c r="F6">
        <v>25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"/>
  <sheetViews>
    <sheetView workbookViewId="0"/>
  </sheetViews>
  <sheetFormatPr defaultRowHeight="12.75" x14ac:dyDescent="0.2"/>
  <sheetData>
    <row r="3" spans="2:2" x14ac:dyDescent="0.2">
      <c r="B3" s="927" t="s">
        <v>813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B3:F7"/>
  <sheetViews>
    <sheetView workbookViewId="0"/>
  </sheetViews>
  <sheetFormatPr defaultRowHeight="15" customHeight="1" x14ac:dyDescent="0.2"/>
  <cols>
    <col min="2" max="2" width="3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72</v>
      </c>
      <c r="C3" t="s">
        <v>76</v>
      </c>
    </row>
    <row r="5" spans="2:6" ht="15" customHeight="1" x14ac:dyDescent="0.2">
      <c r="B5" s="1061" t="s">
        <v>76</v>
      </c>
      <c r="C5" s="14" t="s">
        <v>78</v>
      </c>
      <c r="D5" s="1156" t="s">
        <v>79</v>
      </c>
      <c r="E5" s="1157"/>
      <c r="F5" s="15" t="s">
        <v>80</v>
      </c>
    </row>
    <row r="6" spans="2:6" ht="30" customHeight="1" x14ac:dyDescent="0.2">
      <c r="B6" s="1062"/>
      <c r="C6" s="31" t="s">
        <v>81</v>
      </c>
      <c r="D6" s="31" t="s">
        <v>81</v>
      </c>
      <c r="E6" s="12" t="s">
        <v>82</v>
      </c>
      <c r="F6" s="32" t="s">
        <v>81</v>
      </c>
    </row>
    <row r="7" spans="2:6" ht="15" customHeight="1" x14ac:dyDescent="0.2">
      <c r="B7" s="253" t="str">
        <f>Index!$B$4</f>
        <v>England</v>
      </c>
      <c r="C7" s="254">
        <f>'Section 2 data'!$D$91</f>
        <v>8.4943399999999993</v>
      </c>
      <c r="D7" s="254">
        <f>'Section 2 data'!$E$91</f>
        <v>9.8433299999999999</v>
      </c>
      <c r="E7" s="255">
        <f>'Section 2 data'!$F$91</f>
        <v>12.213512707120753</v>
      </c>
      <c r="F7" s="256">
        <f>SUM(C7,D7)</f>
        <v>18.337669999999999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F5440E-2A4C-4A36-86FC-1D1673FBA67B}">
            <xm:f>IF($E8&gt;Sheet1!$F$4,1,)</xm:f>
            <x14:dxf>
              <font>
                <color rgb="FF808080"/>
              </font>
            </x14:dxf>
          </x14:cfRule>
          <xm:sqref>D7:F7</xm:sqref>
        </x14:conditionalFormatting>
        <x14:conditionalFormatting xmlns:xm="http://schemas.microsoft.com/office/excel/2006/main">
          <x14:cfRule type="cellIs" priority="1" operator="between" id="{1DEA4190-CB43-48C3-B299-C214B979F04D}">
            <xm:f>Sheet1!$D$5</xm:f>
            <xm:f>Sheet1!$E$5</xm:f>
            <x14:dxf>
              <numFmt numFmtId="174" formatCode="&quot;&lt; 0.1&quot;"/>
            </x14:dxf>
          </x14:cfRule>
          <xm:sqref>C7:D7 F7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AJ80"/>
  <sheetViews>
    <sheetView zoomScale="70" zoomScaleNormal="70" workbookViewId="0"/>
  </sheetViews>
  <sheetFormatPr defaultRowHeight="15" customHeight="1" x14ac:dyDescent="0.2"/>
  <cols>
    <col min="2" max="2" width="39.125" bestFit="1" customWidth="1"/>
    <col min="3" max="24" width="12.625" customWidth="1"/>
    <col min="25" max="25" width="8.75" customWidth="1"/>
    <col min="26" max="36" width="12.625" customWidth="1"/>
  </cols>
  <sheetData>
    <row r="3" spans="2:13" ht="15" customHeight="1" x14ac:dyDescent="0.2">
      <c r="B3" s="1015" t="s">
        <v>92</v>
      </c>
      <c r="C3" s="733" t="s">
        <v>332</v>
      </c>
      <c r="D3" s="733" t="s">
        <v>222</v>
      </c>
      <c r="E3" s="733" t="s">
        <v>225</v>
      </c>
      <c r="F3" s="733" t="s">
        <v>226</v>
      </c>
      <c r="G3" s="733" t="s">
        <v>227</v>
      </c>
      <c r="H3" s="733" t="s">
        <v>228</v>
      </c>
      <c r="I3" s="733" t="s">
        <v>333</v>
      </c>
      <c r="J3" s="733" t="s">
        <v>334</v>
      </c>
      <c r="K3" s="733" t="s">
        <v>231</v>
      </c>
      <c r="L3" s="733" t="s">
        <v>232</v>
      </c>
      <c r="M3" s="733" t="s">
        <v>233</v>
      </c>
    </row>
    <row r="4" spans="2:13" ht="15" customHeight="1" x14ac:dyDescent="0.2">
      <c r="B4" s="1016"/>
      <c r="C4" s="732" t="s">
        <v>78</v>
      </c>
      <c r="D4" s="732" t="s">
        <v>78</v>
      </c>
      <c r="E4" s="732" t="s">
        <v>78</v>
      </c>
      <c r="F4" s="732" t="s">
        <v>78</v>
      </c>
      <c r="G4" s="732" t="s">
        <v>78</v>
      </c>
      <c r="H4" s="732" t="s">
        <v>78</v>
      </c>
      <c r="I4" s="732" t="s">
        <v>78</v>
      </c>
      <c r="J4" s="732" t="s">
        <v>78</v>
      </c>
      <c r="K4" s="732" t="s">
        <v>78</v>
      </c>
      <c r="L4" s="732" t="s">
        <v>78</v>
      </c>
      <c r="M4" s="734" t="s">
        <v>78</v>
      </c>
    </row>
    <row r="5" spans="2:13" ht="30" customHeight="1" thickBot="1" x14ac:dyDescent="0.25">
      <c r="B5" s="1017"/>
      <c r="C5" s="735" t="s">
        <v>326</v>
      </c>
      <c r="D5" s="735" t="s">
        <v>326</v>
      </c>
      <c r="E5" s="735" t="s">
        <v>326</v>
      </c>
      <c r="F5" s="735" t="s">
        <v>326</v>
      </c>
      <c r="G5" s="735" t="s">
        <v>326</v>
      </c>
      <c r="H5" s="735" t="s">
        <v>326</v>
      </c>
      <c r="I5" s="735" t="s">
        <v>326</v>
      </c>
      <c r="J5" s="735" t="s">
        <v>326</v>
      </c>
      <c r="K5" s="735" t="s">
        <v>326</v>
      </c>
      <c r="L5" s="735" t="s">
        <v>326</v>
      </c>
      <c r="M5" s="735" t="s">
        <v>326</v>
      </c>
    </row>
    <row r="6" spans="2:13" ht="15" customHeight="1" x14ac:dyDescent="0.2">
      <c r="B6" s="736" t="s">
        <v>721</v>
      </c>
      <c r="C6" s="737">
        <v>1357.6379999999999</v>
      </c>
      <c r="D6" s="737">
        <v>1151.4490000000001</v>
      </c>
      <c r="E6" s="737">
        <v>1122.9359999999999</v>
      </c>
      <c r="F6" s="737">
        <v>1146.115</v>
      </c>
      <c r="G6" s="737">
        <v>1094.79</v>
      </c>
      <c r="H6" s="737">
        <v>1100.3589999999999</v>
      </c>
      <c r="I6" s="737">
        <v>1120.8820000000001</v>
      </c>
      <c r="J6" s="737">
        <v>1071.3800000000001</v>
      </c>
      <c r="K6" s="737">
        <v>903.81200000000001</v>
      </c>
      <c r="L6" s="737">
        <v>1425.9059999999999</v>
      </c>
      <c r="M6" s="738">
        <v>868.93399999999997</v>
      </c>
    </row>
    <row r="7" spans="2:13" ht="15" customHeight="1" x14ac:dyDescent="0.2">
      <c r="B7" s="739" t="s">
        <v>286</v>
      </c>
      <c r="C7" s="740">
        <v>169.035</v>
      </c>
      <c r="D7" s="740">
        <v>120.30500000000001</v>
      </c>
      <c r="E7" s="740">
        <v>143.113</v>
      </c>
      <c r="F7" s="740">
        <v>145.471</v>
      </c>
      <c r="G7" s="740">
        <v>109.753</v>
      </c>
      <c r="H7" s="740">
        <v>130.58199999999999</v>
      </c>
      <c r="I7" s="740">
        <v>116.366</v>
      </c>
      <c r="J7" s="740">
        <v>99.707999999999998</v>
      </c>
      <c r="K7" s="740">
        <v>108.762</v>
      </c>
      <c r="L7" s="740">
        <v>188.303</v>
      </c>
      <c r="M7" s="741">
        <v>95.311000000000007</v>
      </c>
    </row>
    <row r="8" spans="2:13" ht="15" customHeight="1" x14ac:dyDescent="0.2">
      <c r="B8" s="739" t="s">
        <v>307</v>
      </c>
      <c r="C8" s="740">
        <v>75.849000000000004</v>
      </c>
      <c r="D8" s="740">
        <v>72.099999999999994</v>
      </c>
      <c r="E8" s="740">
        <v>72.724000000000004</v>
      </c>
      <c r="F8" s="740">
        <v>92.063000000000002</v>
      </c>
      <c r="G8" s="740">
        <v>76.516999999999996</v>
      </c>
      <c r="H8" s="740">
        <v>89.004999999999995</v>
      </c>
      <c r="I8" s="740">
        <v>84.558000000000007</v>
      </c>
      <c r="J8" s="740">
        <v>105.60299999999999</v>
      </c>
      <c r="K8" s="740">
        <v>84.367999999999995</v>
      </c>
      <c r="L8" s="740">
        <v>92.313000000000002</v>
      </c>
      <c r="M8" s="741">
        <v>138.72300000000001</v>
      </c>
    </row>
    <row r="9" spans="2:13" ht="15" customHeight="1" x14ac:dyDescent="0.2">
      <c r="B9" s="739" t="s">
        <v>287</v>
      </c>
      <c r="C9" s="740">
        <v>168.267</v>
      </c>
      <c r="D9" s="740">
        <v>149.68100000000001</v>
      </c>
      <c r="E9" s="740">
        <v>142.75700000000001</v>
      </c>
      <c r="F9" s="740">
        <v>163.97300000000001</v>
      </c>
      <c r="G9" s="740">
        <v>163.97300000000001</v>
      </c>
      <c r="H9" s="740">
        <v>169.017</v>
      </c>
      <c r="I9" s="740">
        <v>127.28400000000001</v>
      </c>
      <c r="J9" s="740">
        <v>110.233</v>
      </c>
      <c r="K9" s="740">
        <v>82.052999999999997</v>
      </c>
      <c r="L9" s="740">
        <v>83.418999999999997</v>
      </c>
      <c r="M9" s="741">
        <v>69.259</v>
      </c>
    </row>
    <row r="10" spans="2:13" ht="15" customHeight="1" x14ac:dyDescent="0.2">
      <c r="B10" s="739" t="s">
        <v>288</v>
      </c>
      <c r="C10" s="740">
        <v>47.417000000000002</v>
      </c>
      <c r="D10" s="740">
        <v>51.014000000000003</v>
      </c>
      <c r="E10" s="740">
        <v>45.317</v>
      </c>
      <c r="F10" s="740">
        <v>38.831000000000003</v>
      </c>
      <c r="G10" s="740">
        <v>47.055999999999997</v>
      </c>
      <c r="H10" s="740">
        <v>33.167999999999999</v>
      </c>
      <c r="I10" s="740">
        <v>34.295999999999999</v>
      </c>
      <c r="J10" s="740">
        <v>27.609000000000002</v>
      </c>
      <c r="K10" s="740">
        <v>43.662999999999997</v>
      </c>
      <c r="L10" s="740">
        <v>33.423000000000002</v>
      </c>
      <c r="M10" s="741">
        <v>31.556000000000001</v>
      </c>
    </row>
    <row r="11" spans="2:13" ht="15" customHeight="1" x14ac:dyDescent="0.2">
      <c r="B11" s="739" t="s">
        <v>305</v>
      </c>
      <c r="C11" s="740">
        <v>2.827</v>
      </c>
      <c r="D11" s="740">
        <v>7.97</v>
      </c>
      <c r="E11" s="740">
        <v>6.3460000000000001</v>
      </c>
      <c r="F11" s="740">
        <v>4.5709999999999997</v>
      </c>
      <c r="G11" s="740">
        <v>5.9619999999999997</v>
      </c>
      <c r="H11" s="740">
        <v>5.3179999999999996</v>
      </c>
      <c r="I11" s="740">
        <v>3.9620000000000002</v>
      </c>
      <c r="J11" s="740">
        <v>5.4340000000000002</v>
      </c>
      <c r="K11" s="740">
        <v>2.8580000000000001</v>
      </c>
      <c r="L11" s="740">
        <v>2.714</v>
      </c>
      <c r="M11" s="741">
        <v>2.891</v>
      </c>
    </row>
    <row r="12" spans="2:13" ht="15" customHeight="1" x14ac:dyDescent="0.2">
      <c r="B12" s="739" t="s">
        <v>289</v>
      </c>
      <c r="C12" s="740">
        <v>0.47899999999999998</v>
      </c>
      <c r="D12" s="740">
        <v>0.64900000000000002</v>
      </c>
      <c r="E12" s="740">
        <v>0.48699999999999999</v>
      </c>
      <c r="F12" s="740">
        <v>1.6120000000000001</v>
      </c>
      <c r="G12" s="740">
        <v>2.3420000000000001</v>
      </c>
      <c r="H12" s="740">
        <v>8.0280000000000005</v>
      </c>
      <c r="I12" s="740">
        <v>0.64400000000000002</v>
      </c>
      <c r="J12" s="740">
        <v>0.93</v>
      </c>
      <c r="K12" s="740">
        <v>0.88200000000000001</v>
      </c>
      <c r="L12" s="740">
        <v>5.4580000000000002</v>
      </c>
      <c r="M12" s="741">
        <v>1.105</v>
      </c>
    </row>
    <row r="13" spans="2:13" ht="15" customHeight="1" x14ac:dyDescent="0.2">
      <c r="B13" s="739" t="s">
        <v>306</v>
      </c>
      <c r="C13" s="740">
        <v>13.311999999999999</v>
      </c>
      <c r="D13" s="740">
        <v>15.592000000000001</v>
      </c>
      <c r="E13" s="740">
        <v>13.680999999999999</v>
      </c>
      <c r="F13" s="740">
        <v>18.491</v>
      </c>
      <c r="G13" s="740">
        <v>19.349</v>
      </c>
      <c r="H13" s="740">
        <v>25.274999999999999</v>
      </c>
      <c r="I13" s="740">
        <v>22.312000000000001</v>
      </c>
      <c r="J13" s="740">
        <v>41.323</v>
      </c>
      <c r="K13" s="740">
        <v>21.765000000000001</v>
      </c>
      <c r="L13" s="740">
        <v>57.508000000000003</v>
      </c>
      <c r="M13" s="741">
        <v>20.928000000000001</v>
      </c>
    </row>
    <row r="14" spans="2:13" ht="15" customHeight="1" x14ac:dyDescent="0.2">
      <c r="B14" s="739" t="s">
        <v>290</v>
      </c>
      <c r="C14" s="740">
        <v>27.157</v>
      </c>
      <c r="D14" s="740">
        <v>18.818000000000001</v>
      </c>
      <c r="E14" s="740">
        <v>21.478999999999999</v>
      </c>
      <c r="F14" s="740">
        <v>25.933</v>
      </c>
      <c r="G14" s="740">
        <v>23.922000000000001</v>
      </c>
      <c r="H14" s="740">
        <v>20.381</v>
      </c>
      <c r="I14" s="740">
        <v>24.646000000000001</v>
      </c>
      <c r="J14" s="740">
        <v>23.984000000000002</v>
      </c>
      <c r="K14" s="740">
        <v>24.838000000000001</v>
      </c>
      <c r="L14" s="740">
        <v>27.324000000000002</v>
      </c>
      <c r="M14" s="741">
        <v>24.099</v>
      </c>
    </row>
    <row r="15" spans="2:13" ht="15" customHeight="1" x14ac:dyDescent="0.2">
      <c r="B15" s="739" t="s">
        <v>291</v>
      </c>
      <c r="C15" s="740">
        <v>531.601</v>
      </c>
      <c r="D15" s="740">
        <v>364.50599999999997</v>
      </c>
      <c r="E15" s="740">
        <v>306.07900000000001</v>
      </c>
      <c r="F15" s="740">
        <v>284.392</v>
      </c>
      <c r="G15" s="740">
        <v>284.07400000000001</v>
      </c>
      <c r="H15" s="740">
        <v>239.82499999999999</v>
      </c>
      <c r="I15" s="740">
        <v>343.99200000000002</v>
      </c>
      <c r="J15" s="740">
        <v>312.86099999999999</v>
      </c>
      <c r="K15" s="740">
        <v>253.268</v>
      </c>
      <c r="L15" s="740">
        <v>446.40800000000002</v>
      </c>
      <c r="M15" s="741">
        <v>184.489</v>
      </c>
    </row>
    <row r="16" spans="2:13" ht="15" customHeight="1" x14ac:dyDescent="0.2">
      <c r="B16" s="739" t="s">
        <v>292</v>
      </c>
      <c r="C16" s="740">
        <v>45.831000000000003</v>
      </c>
      <c r="D16" s="740">
        <v>60.098999999999997</v>
      </c>
      <c r="E16" s="740">
        <v>50.536000000000001</v>
      </c>
      <c r="F16" s="740">
        <v>60.746000000000002</v>
      </c>
      <c r="G16" s="740">
        <v>62.706000000000003</v>
      </c>
      <c r="H16" s="740">
        <v>74.778000000000006</v>
      </c>
      <c r="I16" s="740">
        <v>89.826999999999998</v>
      </c>
      <c r="J16" s="740">
        <v>77.070999999999998</v>
      </c>
      <c r="K16" s="740">
        <v>63.811999999999998</v>
      </c>
      <c r="L16" s="740">
        <v>95.016999999999996</v>
      </c>
      <c r="M16" s="741">
        <v>59.436999999999998</v>
      </c>
    </row>
    <row r="17" spans="2:36" ht="15" customHeight="1" x14ac:dyDescent="0.2">
      <c r="B17" s="739" t="s">
        <v>293</v>
      </c>
      <c r="C17" s="740">
        <v>6.26</v>
      </c>
      <c r="D17" s="740">
        <v>7.4960000000000004</v>
      </c>
      <c r="E17" s="740">
        <v>7.3289999999999997</v>
      </c>
      <c r="F17" s="740">
        <v>5.2220000000000004</v>
      </c>
      <c r="G17" s="740">
        <v>6.5110000000000001</v>
      </c>
      <c r="H17" s="740">
        <v>18.823</v>
      </c>
      <c r="I17" s="740">
        <v>9.0670000000000002</v>
      </c>
      <c r="J17" s="740">
        <v>6.3719999999999999</v>
      </c>
      <c r="K17" s="740">
        <v>8.7929999999999993</v>
      </c>
      <c r="L17" s="740">
        <v>40.031999999999996</v>
      </c>
      <c r="M17" s="741">
        <v>9.5969999999999995</v>
      </c>
    </row>
    <row r="18" spans="2:36" ht="15" customHeight="1" x14ac:dyDescent="0.2">
      <c r="B18" s="739" t="s">
        <v>294</v>
      </c>
      <c r="C18" s="740">
        <v>49.295000000000002</v>
      </c>
      <c r="D18" s="740">
        <v>49.463000000000001</v>
      </c>
      <c r="E18" s="740">
        <v>51.792000000000002</v>
      </c>
      <c r="F18" s="740">
        <v>62.314999999999998</v>
      </c>
      <c r="G18" s="740">
        <v>53.054000000000002</v>
      </c>
      <c r="H18" s="740">
        <v>60.503999999999998</v>
      </c>
      <c r="I18" s="740">
        <v>62.692999999999998</v>
      </c>
      <c r="J18" s="740">
        <v>52.445999999999998</v>
      </c>
      <c r="K18" s="740">
        <v>43.613</v>
      </c>
      <c r="L18" s="740">
        <v>43.976999999999997</v>
      </c>
      <c r="M18" s="741">
        <v>60.320999999999998</v>
      </c>
    </row>
    <row r="19" spans="2:36" ht="15" customHeight="1" x14ac:dyDescent="0.2">
      <c r="B19" s="739" t="s">
        <v>295</v>
      </c>
      <c r="C19" s="740">
        <v>119.86199999999999</v>
      </c>
      <c r="D19" s="740">
        <v>129.88900000000001</v>
      </c>
      <c r="E19" s="740">
        <v>145.24</v>
      </c>
      <c r="F19" s="740">
        <v>143.47499999999999</v>
      </c>
      <c r="G19" s="740">
        <v>128.51900000000001</v>
      </c>
      <c r="H19" s="740">
        <v>131.70500000000001</v>
      </c>
      <c r="I19" s="740">
        <v>120.569</v>
      </c>
      <c r="J19" s="740">
        <v>117.768</v>
      </c>
      <c r="K19" s="740">
        <v>98.951999999999998</v>
      </c>
      <c r="L19" s="740">
        <v>101.836</v>
      </c>
      <c r="M19" s="741">
        <v>95.403999999999996</v>
      </c>
    </row>
    <row r="20" spans="2:36" ht="15" customHeight="1" thickBot="1" x14ac:dyDescent="0.25">
      <c r="B20" s="742" t="s">
        <v>296</v>
      </c>
      <c r="C20" s="743">
        <v>100.446</v>
      </c>
      <c r="D20" s="743">
        <v>103.867</v>
      </c>
      <c r="E20" s="743">
        <v>116.056</v>
      </c>
      <c r="F20" s="743">
        <v>99.02</v>
      </c>
      <c r="G20" s="743">
        <v>111.05200000000001</v>
      </c>
      <c r="H20" s="743">
        <v>93.95</v>
      </c>
      <c r="I20" s="743">
        <v>80.665999999999997</v>
      </c>
      <c r="J20" s="743">
        <v>90.037999999999997</v>
      </c>
      <c r="K20" s="743">
        <v>66.185000000000002</v>
      </c>
      <c r="L20" s="743">
        <v>208.17400000000001</v>
      </c>
      <c r="M20" s="744">
        <v>75.813999999999993</v>
      </c>
    </row>
    <row r="23" spans="2:36" ht="15" customHeight="1" x14ac:dyDescent="0.2">
      <c r="B23" s="1015" t="s">
        <v>92</v>
      </c>
      <c r="C23" s="1018" t="s">
        <v>332</v>
      </c>
      <c r="D23" s="1021"/>
      <c r="E23" s="1018" t="s">
        <v>222</v>
      </c>
      <c r="F23" s="1021"/>
      <c r="G23" s="1018" t="s">
        <v>225</v>
      </c>
      <c r="H23" s="1021"/>
      <c r="I23" s="1018" t="s">
        <v>226</v>
      </c>
      <c r="J23" s="1021"/>
      <c r="K23" s="1018" t="s">
        <v>227</v>
      </c>
      <c r="L23" s="1021"/>
      <c r="M23" s="1018" t="s">
        <v>228</v>
      </c>
      <c r="N23" s="1021"/>
      <c r="O23" s="1018" t="s">
        <v>333</v>
      </c>
      <c r="P23" s="1021"/>
      <c r="Q23" s="1018" t="s">
        <v>334</v>
      </c>
      <c r="R23" s="1021"/>
      <c r="S23" s="1018" t="s">
        <v>231</v>
      </c>
      <c r="T23" s="1021"/>
      <c r="U23" s="1018" t="s">
        <v>232</v>
      </c>
      <c r="V23" s="1021"/>
      <c r="W23" s="1018" t="s">
        <v>233</v>
      </c>
      <c r="X23" s="1019"/>
      <c r="Z23" s="745" t="s">
        <v>332</v>
      </c>
      <c r="AA23" s="733" t="s">
        <v>222</v>
      </c>
      <c r="AB23" s="733" t="s">
        <v>225</v>
      </c>
      <c r="AC23" s="733" t="s">
        <v>226</v>
      </c>
      <c r="AD23" s="733" t="s">
        <v>227</v>
      </c>
      <c r="AE23" s="733" t="s">
        <v>228</v>
      </c>
      <c r="AF23" s="733" t="s">
        <v>333</v>
      </c>
      <c r="AG23" s="733" t="s">
        <v>334</v>
      </c>
      <c r="AH23" s="733" t="s">
        <v>231</v>
      </c>
      <c r="AI23" s="733" t="s">
        <v>232</v>
      </c>
      <c r="AJ23" s="733" t="s">
        <v>233</v>
      </c>
    </row>
    <row r="24" spans="2:36" ht="15" customHeight="1" x14ac:dyDescent="0.2">
      <c r="B24" s="1016"/>
      <c r="C24" s="1013" t="s">
        <v>79</v>
      </c>
      <c r="D24" s="1020"/>
      <c r="E24" s="1013" t="s">
        <v>79</v>
      </c>
      <c r="F24" s="1020"/>
      <c r="G24" s="1013" t="s">
        <v>79</v>
      </c>
      <c r="H24" s="1020"/>
      <c r="I24" s="1013" t="s">
        <v>79</v>
      </c>
      <c r="J24" s="1020"/>
      <c r="K24" s="1013" t="s">
        <v>79</v>
      </c>
      <c r="L24" s="1020"/>
      <c r="M24" s="1013" t="s">
        <v>79</v>
      </c>
      <c r="N24" s="1020"/>
      <c r="O24" s="1013" t="s">
        <v>79</v>
      </c>
      <c r="P24" s="1020"/>
      <c r="Q24" s="1013" t="s">
        <v>79</v>
      </c>
      <c r="R24" s="1020"/>
      <c r="S24" s="1013" t="s">
        <v>79</v>
      </c>
      <c r="T24" s="1020"/>
      <c r="U24" s="1013" t="s">
        <v>79</v>
      </c>
      <c r="V24" s="1020"/>
      <c r="W24" s="1013" t="s">
        <v>79</v>
      </c>
      <c r="X24" s="1014"/>
      <c r="Z24" s="745"/>
      <c r="AA24" s="733"/>
      <c r="AB24" s="733"/>
      <c r="AC24" s="733"/>
      <c r="AD24" s="733"/>
      <c r="AE24" s="733"/>
      <c r="AF24" s="733"/>
      <c r="AG24" s="733"/>
      <c r="AH24" s="733"/>
      <c r="AI24" s="733"/>
      <c r="AJ24" s="733"/>
    </row>
    <row r="25" spans="2:36" ht="30" customHeight="1" thickBot="1" x14ac:dyDescent="0.25">
      <c r="B25" s="1017"/>
      <c r="C25" s="746"/>
      <c r="D25" s="747" t="s">
        <v>82</v>
      </c>
      <c r="E25" s="746"/>
      <c r="F25" s="748" t="s">
        <v>82</v>
      </c>
      <c r="G25" s="746"/>
      <c r="H25" s="748" t="s">
        <v>82</v>
      </c>
      <c r="I25" s="746"/>
      <c r="J25" s="748" t="s">
        <v>82</v>
      </c>
      <c r="K25" s="746"/>
      <c r="L25" s="748" t="s">
        <v>82</v>
      </c>
      <c r="M25" s="746"/>
      <c r="N25" s="748" t="s">
        <v>82</v>
      </c>
      <c r="O25" s="746"/>
      <c r="P25" s="748" t="s">
        <v>82</v>
      </c>
      <c r="Q25" s="746"/>
      <c r="R25" s="748" t="s">
        <v>82</v>
      </c>
      <c r="S25" s="746"/>
      <c r="T25" s="748" t="s">
        <v>82</v>
      </c>
      <c r="U25" s="746"/>
      <c r="V25" s="748" t="s">
        <v>82</v>
      </c>
      <c r="W25" s="749"/>
      <c r="X25" s="747" t="s">
        <v>82</v>
      </c>
      <c r="Z25" s="656" t="s">
        <v>310</v>
      </c>
      <c r="AA25" s="657" t="s">
        <v>310</v>
      </c>
      <c r="AB25" s="657" t="s">
        <v>310</v>
      </c>
      <c r="AC25" s="657" t="s">
        <v>310</v>
      </c>
      <c r="AD25" s="657" t="s">
        <v>310</v>
      </c>
      <c r="AE25" s="657" t="s">
        <v>310</v>
      </c>
      <c r="AF25" s="657" t="s">
        <v>310</v>
      </c>
      <c r="AG25" s="657" t="s">
        <v>310</v>
      </c>
      <c r="AH25" s="657" t="s">
        <v>310</v>
      </c>
      <c r="AI25" s="657" t="s">
        <v>310</v>
      </c>
      <c r="AJ25" s="657" t="s">
        <v>310</v>
      </c>
    </row>
    <row r="26" spans="2:36" ht="15" customHeight="1" x14ac:dyDescent="0.2">
      <c r="B26" s="736" t="s">
        <v>721</v>
      </c>
      <c r="C26" s="737">
        <v>2957.9369999999999</v>
      </c>
      <c r="D26" s="750">
        <v>4.9175326735365372</v>
      </c>
      <c r="E26" s="737">
        <v>3264.904</v>
      </c>
      <c r="F26" s="750">
        <v>4.7723267050589984</v>
      </c>
      <c r="G26" s="737">
        <v>2956.4490000000001</v>
      </c>
      <c r="H26" s="750">
        <v>5.0877422572868625</v>
      </c>
      <c r="I26" s="737">
        <v>3052.6990000000001</v>
      </c>
      <c r="J26" s="750">
        <v>5.1812754658331821</v>
      </c>
      <c r="K26" s="737">
        <v>2910.4050000000002</v>
      </c>
      <c r="L26" s="750">
        <v>5.8810833804531484</v>
      </c>
      <c r="M26" s="737">
        <v>2272.7440000000001</v>
      </c>
      <c r="N26" s="750">
        <v>6.3794291254089313</v>
      </c>
      <c r="O26" s="737">
        <v>1864.1179999999999</v>
      </c>
      <c r="P26" s="750">
        <v>6.0087275633713189</v>
      </c>
      <c r="Q26" s="737">
        <v>1537.9449999999999</v>
      </c>
      <c r="R26" s="750">
        <v>5.3753890135659841</v>
      </c>
      <c r="S26" s="737">
        <v>1437.366</v>
      </c>
      <c r="T26" s="750">
        <v>5.6549002041536838</v>
      </c>
      <c r="U26" s="737">
        <v>1622.8710000000001</v>
      </c>
      <c r="V26" s="750">
        <v>5.9226321723649189</v>
      </c>
      <c r="W26" s="737">
        <v>1370.6420000000001</v>
      </c>
      <c r="X26" s="751">
        <v>5.9733356391400863</v>
      </c>
      <c r="Z26" s="665">
        <f>C26*D26/100</f>
        <v>145.45751843762645</v>
      </c>
      <c r="AA26" s="472">
        <f>E26*F26/100</f>
        <v>155.81188548653944</v>
      </c>
      <c r="AB26" s="472">
        <f>G26*H26/100</f>
        <v>150.41650508813487</v>
      </c>
      <c r="AC26" s="472">
        <f>I26*J26/100</f>
        <v>158.16874433273489</v>
      </c>
      <c r="AD26" s="472">
        <f>K26*L26/100</f>
        <v>171.16334475887746</v>
      </c>
      <c r="AE26" s="472">
        <f>M26*N26/100</f>
        <v>144.98809268198397</v>
      </c>
      <c r="AF26" s="472">
        <f>O26*P26/100</f>
        <v>112.00977207976615</v>
      </c>
      <c r="AG26" s="472">
        <f>Q26*R26/100</f>
        <v>82.670526564687364</v>
      </c>
      <c r="AH26" s="472">
        <f>S26*T26/100</f>
        <v>81.281612868435644</v>
      </c>
      <c r="AI26" s="472">
        <f>U26*V26/100</f>
        <v>96.116679961980282</v>
      </c>
      <c r="AJ26" s="666">
        <f>W26*X26/100</f>
        <v>81.873047071022469</v>
      </c>
    </row>
    <row r="27" spans="2:36" ht="15" customHeight="1" x14ac:dyDescent="0.2">
      <c r="B27" s="739" t="s">
        <v>286</v>
      </c>
      <c r="C27" s="740">
        <v>238.006</v>
      </c>
      <c r="D27" s="752">
        <v>18.350000000000001</v>
      </c>
      <c r="E27" s="740">
        <v>258.863</v>
      </c>
      <c r="F27" s="752">
        <v>16.739999999999998</v>
      </c>
      <c r="G27" s="740">
        <v>420.42200000000003</v>
      </c>
      <c r="H27" s="752">
        <v>18.03</v>
      </c>
      <c r="I27" s="740">
        <v>350.44</v>
      </c>
      <c r="J27" s="752">
        <v>15.81</v>
      </c>
      <c r="K27" s="740">
        <v>257.19099999999997</v>
      </c>
      <c r="L27" s="752">
        <v>19.52</v>
      </c>
      <c r="M27" s="740">
        <v>166.393</v>
      </c>
      <c r="N27" s="752">
        <v>14.57</v>
      </c>
      <c r="O27" s="740">
        <v>201.227</v>
      </c>
      <c r="P27" s="752">
        <v>18.16</v>
      </c>
      <c r="Q27" s="740">
        <v>148.386</v>
      </c>
      <c r="R27" s="752">
        <v>14.64</v>
      </c>
      <c r="S27" s="740">
        <v>183.33199999999999</v>
      </c>
      <c r="T27" s="752">
        <v>16.809999999999999</v>
      </c>
      <c r="U27" s="740">
        <v>200.94499999999999</v>
      </c>
      <c r="V27" s="752">
        <v>22.23</v>
      </c>
      <c r="W27" s="740">
        <v>184.821</v>
      </c>
      <c r="X27" s="753">
        <v>20.38</v>
      </c>
      <c r="Z27" s="665">
        <f t="shared" ref="Z27:Z40" si="0">C27*D27/100</f>
        <v>43.674101</v>
      </c>
      <c r="AA27" s="472">
        <f t="shared" ref="AA27:AA40" si="1">E27*F27/100</f>
        <v>43.333666199999996</v>
      </c>
      <c r="AB27" s="472">
        <f t="shared" ref="AB27:AB40" si="2">G27*H27/100</f>
        <v>75.80208660000001</v>
      </c>
      <c r="AC27" s="472">
        <f t="shared" ref="AC27:AC40" si="3">I27*J27/100</f>
        <v>55.404564000000001</v>
      </c>
      <c r="AD27" s="472">
        <f t="shared" ref="AD27:AD40" si="4">K27*L27/100</f>
        <v>50.203683199999993</v>
      </c>
      <c r="AE27" s="472">
        <f t="shared" ref="AE27:AE40" si="5">M27*N27/100</f>
        <v>24.243460100000004</v>
      </c>
      <c r="AF27" s="472">
        <f t="shared" ref="AF27:AF40" si="6">O27*P27/100</f>
        <v>36.542823200000001</v>
      </c>
      <c r="AG27" s="472">
        <f t="shared" ref="AG27:AG40" si="7">Q27*R27/100</f>
        <v>21.723710400000002</v>
      </c>
      <c r="AH27" s="472">
        <f t="shared" ref="AH27:AH40" si="8">S27*T27/100</f>
        <v>30.818109199999995</v>
      </c>
      <c r="AI27" s="472">
        <f t="shared" ref="AI27:AI40" si="9">U27*V27/100</f>
        <v>44.670073500000001</v>
      </c>
      <c r="AJ27" s="666">
        <f t="shared" ref="AJ27:AJ40" si="10">W27*X27/100</f>
        <v>37.666519799999996</v>
      </c>
    </row>
    <row r="28" spans="2:36" ht="15" customHeight="1" x14ac:dyDescent="0.2">
      <c r="B28" s="739" t="s">
        <v>307</v>
      </c>
      <c r="C28" s="740">
        <v>330.42700000000002</v>
      </c>
      <c r="D28" s="752">
        <v>17.149999999999999</v>
      </c>
      <c r="E28" s="740">
        <v>520.34100000000001</v>
      </c>
      <c r="F28" s="752">
        <v>15.88</v>
      </c>
      <c r="G28" s="740">
        <v>232.18</v>
      </c>
      <c r="H28" s="752">
        <v>11.5</v>
      </c>
      <c r="I28" s="740">
        <v>212.33600000000001</v>
      </c>
      <c r="J28" s="752">
        <v>14.74</v>
      </c>
      <c r="K28" s="740">
        <v>227.797</v>
      </c>
      <c r="L28" s="752">
        <v>14.85</v>
      </c>
      <c r="M28" s="740">
        <v>166.84</v>
      </c>
      <c r="N28" s="752">
        <v>21.27</v>
      </c>
      <c r="O28" s="740">
        <v>181.90899999999999</v>
      </c>
      <c r="P28" s="752">
        <v>15.4</v>
      </c>
      <c r="Q28" s="740">
        <v>183.56899999999999</v>
      </c>
      <c r="R28" s="752">
        <v>15.26</v>
      </c>
      <c r="S28" s="740">
        <v>130.34399999999999</v>
      </c>
      <c r="T28" s="752">
        <v>16.260000000000002</v>
      </c>
      <c r="U28" s="740">
        <v>204.273</v>
      </c>
      <c r="V28" s="752">
        <v>19.190000000000001</v>
      </c>
      <c r="W28" s="740">
        <v>94.292000000000002</v>
      </c>
      <c r="X28" s="753">
        <v>6.48</v>
      </c>
      <c r="Z28" s="665">
        <f t="shared" si="0"/>
        <v>56.6682305</v>
      </c>
      <c r="AA28" s="472">
        <f t="shared" si="1"/>
        <v>82.63015080000001</v>
      </c>
      <c r="AB28" s="472">
        <f t="shared" si="2"/>
        <v>26.700700000000001</v>
      </c>
      <c r="AC28" s="472">
        <f t="shared" si="3"/>
        <v>31.298326400000001</v>
      </c>
      <c r="AD28" s="472">
        <f t="shared" si="4"/>
        <v>33.827854500000001</v>
      </c>
      <c r="AE28" s="472">
        <f t="shared" si="5"/>
        <v>35.486868000000001</v>
      </c>
      <c r="AF28" s="472">
        <f t="shared" si="6"/>
        <v>28.013985999999999</v>
      </c>
      <c r="AG28" s="472">
        <f t="shared" si="7"/>
        <v>28.012629399999994</v>
      </c>
      <c r="AH28" s="472">
        <f t="shared" si="8"/>
        <v>21.193934400000003</v>
      </c>
      <c r="AI28" s="472">
        <f t="shared" si="9"/>
        <v>39.199988700000006</v>
      </c>
      <c r="AJ28" s="666">
        <f t="shared" si="10"/>
        <v>6.1101216000000003</v>
      </c>
    </row>
    <row r="29" spans="2:36" ht="15" customHeight="1" x14ac:dyDescent="0.2">
      <c r="B29" s="739" t="s">
        <v>287</v>
      </c>
      <c r="C29" s="740">
        <v>166.202</v>
      </c>
      <c r="D29" s="752">
        <v>11.7</v>
      </c>
      <c r="E29" s="740">
        <v>201.37</v>
      </c>
      <c r="F29" s="752">
        <v>13.18</v>
      </c>
      <c r="G29" s="740">
        <v>164.31299999999999</v>
      </c>
      <c r="H29" s="752">
        <v>17.68</v>
      </c>
      <c r="I29" s="740">
        <v>251.798</v>
      </c>
      <c r="J29" s="752">
        <v>18.3</v>
      </c>
      <c r="K29" s="740">
        <v>269.90499999999997</v>
      </c>
      <c r="L29" s="752">
        <v>16.97</v>
      </c>
      <c r="M29" s="740">
        <v>213.79300000000001</v>
      </c>
      <c r="N29" s="752">
        <v>19.66</v>
      </c>
      <c r="O29" s="740">
        <v>159.32300000000001</v>
      </c>
      <c r="P29" s="752">
        <v>19.53</v>
      </c>
      <c r="Q29" s="740">
        <v>71.361000000000004</v>
      </c>
      <c r="R29" s="752">
        <v>22.26</v>
      </c>
      <c r="S29" s="740">
        <v>108.282</v>
      </c>
      <c r="T29" s="752">
        <v>24.3</v>
      </c>
      <c r="U29" s="740">
        <v>89.23</v>
      </c>
      <c r="V29" s="752">
        <v>16.16</v>
      </c>
      <c r="W29" s="740">
        <v>86.304000000000002</v>
      </c>
      <c r="X29" s="753">
        <v>9.25</v>
      </c>
      <c r="Z29" s="665">
        <f t="shared" si="0"/>
        <v>19.445633999999998</v>
      </c>
      <c r="AA29" s="472">
        <f t="shared" si="1"/>
        <v>26.540565999999998</v>
      </c>
      <c r="AB29" s="472">
        <f t="shared" si="2"/>
        <v>29.050538399999997</v>
      </c>
      <c r="AC29" s="472">
        <f t="shared" si="3"/>
        <v>46.079034</v>
      </c>
      <c r="AD29" s="472">
        <f t="shared" si="4"/>
        <v>45.802878499999991</v>
      </c>
      <c r="AE29" s="472">
        <f t="shared" si="5"/>
        <v>42.031703800000003</v>
      </c>
      <c r="AF29" s="472">
        <f t="shared" si="6"/>
        <v>31.115781900000002</v>
      </c>
      <c r="AG29" s="472">
        <f t="shared" si="7"/>
        <v>15.884958600000003</v>
      </c>
      <c r="AH29" s="472">
        <f t="shared" si="8"/>
        <v>26.312525999999998</v>
      </c>
      <c r="AI29" s="472">
        <f t="shared" si="9"/>
        <v>14.419568000000002</v>
      </c>
      <c r="AJ29" s="666">
        <f t="shared" si="10"/>
        <v>7.9831200000000004</v>
      </c>
    </row>
    <row r="30" spans="2:36" ht="15" customHeight="1" x14ac:dyDescent="0.2">
      <c r="B30" s="739" t="s">
        <v>288</v>
      </c>
      <c r="C30" s="740">
        <v>80.561999999999998</v>
      </c>
      <c r="D30" s="752">
        <v>17.87</v>
      </c>
      <c r="E30" s="740">
        <v>104.88500000000001</v>
      </c>
      <c r="F30" s="752">
        <v>22.05</v>
      </c>
      <c r="G30" s="740">
        <v>134.94200000000001</v>
      </c>
      <c r="H30" s="752">
        <v>29.77</v>
      </c>
      <c r="I30" s="740">
        <v>136.261</v>
      </c>
      <c r="J30" s="752">
        <v>22.44</v>
      </c>
      <c r="K30" s="740">
        <v>63.215000000000003</v>
      </c>
      <c r="L30" s="752">
        <v>20.62</v>
      </c>
      <c r="M30" s="740">
        <v>80.111000000000004</v>
      </c>
      <c r="N30" s="752">
        <v>39.979999999999997</v>
      </c>
      <c r="O30" s="740">
        <v>83.795000000000002</v>
      </c>
      <c r="P30" s="752">
        <v>34.08</v>
      </c>
      <c r="Q30" s="740">
        <v>53.311999999999998</v>
      </c>
      <c r="R30" s="752">
        <v>24.38</v>
      </c>
      <c r="S30" s="740">
        <v>45.841000000000001</v>
      </c>
      <c r="T30" s="752">
        <v>14.85</v>
      </c>
      <c r="U30" s="740">
        <v>78.244</v>
      </c>
      <c r="V30" s="752">
        <v>38.4</v>
      </c>
      <c r="W30" s="740">
        <v>54.173999999999999</v>
      </c>
      <c r="X30" s="753">
        <v>19.100000000000001</v>
      </c>
      <c r="Z30" s="665">
        <f t="shared" si="0"/>
        <v>14.396429399999999</v>
      </c>
      <c r="AA30" s="472">
        <f t="shared" si="1"/>
        <v>23.127142500000001</v>
      </c>
      <c r="AB30" s="472">
        <f t="shared" si="2"/>
        <v>40.172233400000003</v>
      </c>
      <c r="AC30" s="472">
        <f t="shared" si="3"/>
        <v>30.576968400000002</v>
      </c>
      <c r="AD30" s="472">
        <f t="shared" si="4"/>
        <v>13.034933000000001</v>
      </c>
      <c r="AE30" s="472">
        <f t="shared" si="5"/>
        <v>32.028377800000001</v>
      </c>
      <c r="AF30" s="472">
        <f t="shared" si="6"/>
        <v>28.557335999999999</v>
      </c>
      <c r="AG30" s="472">
        <f t="shared" si="7"/>
        <v>12.997465599999998</v>
      </c>
      <c r="AH30" s="472">
        <f t="shared" si="8"/>
        <v>6.8073884999999992</v>
      </c>
      <c r="AI30" s="472">
        <f t="shared" si="9"/>
        <v>30.045696</v>
      </c>
      <c r="AJ30" s="666">
        <f t="shared" si="10"/>
        <v>10.347234</v>
      </c>
    </row>
    <row r="31" spans="2:36" ht="15" customHeight="1" x14ac:dyDescent="0.2">
      <c r="B31" s="739" t="s">
        <v>305</v>
      </c>
      <c r="C31" s="740">
        <v>22.687000000000001</v>
      </c>
      <c r="D31" s="752">
        <v>29.86</v>
      </c>
      <c r="E31" s="740">
        <v>47.752000000000002</v>
      </c>
      <c r="F31" s="752">
        <v>29.88</v>
      </c>
      <c r="G31" s="740">
        <v>23.611000000000001</v>
      </c>
      <c r="H31" s="752">
        <v>27.54</v>
      </c>
      <c r="I31" s="740">
        <v>29.257999999999999</v>
      </c>
      <c r="J31" s="752">
        <v>30.38</v>
      </c>
      <c r="K31" s="740">
        <v>28.265000000000001</v>
      </c>
      <c r="L31" s="752">
        <v>42.71</v>
      </c>
      <c r="M31" s="740">
        <v>19.815999999999999</v>
      </c>
      <c r="N31" s="752">
        <v>32.51</v>
      </c>
      <c r="O31" s="740">
        <v>10.875</v>
      </c>
      <c r="P31" s="752">
        <v>28.31</v>
      </c>
      <c r="Q31" s="740">
        <v>24.6</v>
      </c>
      <c r="R31" s="752">
        <v>42.45</v>
      </c>
      <c r="S31" s="740">
        <v>13.582000000000001</v>
      </c>
      <c r="T31" s="752">
        <v>26.34</v>
      </c>
      <c r="U31" s="740">
        <v>22.170999999999999</v>
      </c>
      <c r="V31" s="752">
        <v>29.61</v>
      </c>
      <c r="W31" s="740">
        <v>15.65</v>
      </c>
      <c r="X31" s="753">
        <v>25.87</v>
      </c>
      <c r="Z31" s="665">
        <f t="shared" si="0"/>
        <v>6.7743381999999999</v>
      </c>
      <c r="AA31" s="472">
        <f t="shared" si="1"/>
        <v>14.2682976</v>
      </c>
      <c r="AB31" s="472">
        <f t="shared" si="2"/>
        <v>6.5024693999999998</v>
      </c>
      <c r="AC31" s="472">
        <f t="shared" si="3"/>
        <v>8.8885804000000004</v>
      </c>
      <c r="AD31" s="472">
        <f t="shared" si="4"/>
        <v>12.0719815</v>
      </c>
      <c r="AE31" s="472">
        <f t="shared" si="5"/>
        <v>6.4421815999999987</v>
      </c>
      <c r="AF31" s="472">
        <f t="shared" si="6"/>
        <v>3.0787125</v>
      </c>
      <c r="AG31" s="472">
        <f t="shared" si="7"/>
        <v>10.442700000000002</v>
      </c>
      <c r="AH31" s="472">
        <f t="shared" si="8"/>
        <v>3.5774988000000003</v>
      </c>
      <c r="AI31" s="472">
        <f t="shared" si="9"/>
        <v>6.5648330999999995</v>
      </c>
      <c r="AJ31" s="666">
        <f t="shared" si="10"/>
        <v>4.0486550000000001</v>
      </c>
    </row>
    <row r="32" spans="2:36" ht="15" customHeight="1" x14ac:dyDescent="0.2">
      <c r="B32" s="739" t="s">
        <v>289</v>
      </c>
      <c r="C32" s="740">
        <v>27.053000000000001</v>
      </c>
      <c r="D32" s="752">
        <v>17.91</v>
      </c>
      <c r="E32" s="740">
        <v>62.036000000000001</v>
      </c>
      <c r="F32" s="752">
        <v>21.65</v>
      </c>
      <c r="G32" s="740">
        <v>48.756999999999998</v>
      </c>
      <c r="H32" s="752">
        <v>30.01</v>
      </c>
      <c r="I32" s="740">
        <v>21.864000000000001</v>
      </c>
      <c r="J32" s="752">
        <v>23.89</v>
      </c>
      <c r="K32" s="740">
        <v>52.98</v>
      </c>
      <c r="L32" s="752">
        <v>58.36</v>
      </c>
      <c r="M32" s="740">
        <v>58.429000000000002</v>
      </c>
      <c r="N32" s="752">
        <v>33.86</v>
      </c>
      <c r="O32" s="740">
        <v>11.055</v>
      </c>
      <c r="P32" s="752">
        <v>23.5</v>
      </c>
      <c r="Q32" s="740">
        <v>36.366</v>
      </c>
      <c r="R32" s="752">
        <v>41.85</v>
      </c>
      <c r="S32" s="740">
        <v>24.172000000000001</v>
      </c>
      <c r="T32" s="752">
        <v>29.73</v>
      </c>
      <c r="U32" s="740">
        <v>15.317</v>
      </c>
      <c r="V32" s="752">
        <v>20.91</v>
      </c>
      <c r="W32" s="740">
        <v>17.748999999999999</v>
      </c>
      <c r="X32" s="753">
        <v>18.61</v>
      </c>
      <c r="Z32" s="665">
        <f t="shared" si="0"/>
        <v>4.8451922999999999</v>
      </c>
      <c r="AA32" s="472">
        <f t="shared" si="1"/>
        <v>13.430793999999999</v>
      </c>
      <c r="AB32" s="472">
        <f t="shared" si="2"/>
        <v>14.6319757</v>
      </c>
      <c r="AC32" s="472">
        <f t="shared" si="3"/>
        <v>5.2233096000000003</v>
      </c>
      <c r="AD32" s="472">
        <f t="shared" si="4"/>
        <v>30.919127999999997</v>
      </c>
      <c r="AE32" s="472">
        <f t="shared" si="5"/>
        <v>19.7840594</v>
      </c>
      <c r="AF32" s="472">
        <f t="shared" si="6"/>
        <v>2.597925</v>
      </c>
      <c r="AG32" s="472">
        <f t="shared" si="7"/>
        <v>15.219171000000001</v>
      </c>
      <c r="AH32" s="472">
        <f t="shared" si="8"/>
        <v>7.1863355999999996</v>
      </c>
      <c r="AI32" s="472">
        <f t="shared" si="9"/>
        <v>3.2027847000000005</v>
      </c>
      <c r="AJ32" s="666">
        <f t="shared" si="10"/>
        <v>3.3030888999999997</v>
      </c>
    </row>
    <row r="33" spans="2:36" ht="15" customHeight="1" x14ac:dyDescent="0.2">
      <c r="B33" s="739" t="s">
        <v>306</v>
      </c>
      <c r="C33" s="740">
        <v>160.82599999999999</v>
      </c>
      <c r="D33" s="752">
        <v>16.54</v>
      </c>
      <c r="E33" s="740">
        <v>139.34299999999999</v>
      </c>
      <c r="F33" s="752">
        <v>15.82</v>
      </c>
      <c r="G33" s="740">
        <v>172.786</v>
      </c>
      <c r="H33" s="752">
        <v>18.29</v>
      </c>
      <c r="I33" s="740">
        <v>93.953999999999994</v>
      </c>
      <c r="J33" s="752">
        <v>22.78</v>
      </c>
      <c r="K33" s="740">
        <v>86.736999999999995</v>
      </c>
      <c r="L33" s="752">
        <v>25.34</v>
      </c>
      <c r="M33" s="740">
        <v>116.59699999999999</v>
      </c>
      <c r="N33" s="752">
        <v>22.62</v>
      </c>
      <c r="O33" s="740">
        <v>134.774</v>
      </c>
      <c r="P33" s="752">
        <v>27.91</v>
      </c>
      <c r="Q33" s="740">
        <v>63.48</v>
      </c>
      <c r="R33" s="752">
        <v>19.22</v>
      </c>
      <c r="S33" s="740">
        <v>41.133000000000003</v>
      </c>
      <c r="T33" s="752">
        <v>13.14</v>
      </c>
      <c r="U33" s="740">
        <v>63.802999999999997</v>
      </c>
      <c r="V33" s="752">
        <v>20.57</v>
      </c>
      <c r="W33" s="740">
        <v>58.523000000000003</v>
      </c>
      <c r="X33" s="753">
        <v>15.38</v>
      </c>
      <c r="Z33" s="665">
        <f t="shared" si="0"/>
        <v>26.600620399999997</v>
      </c>
      <c r="AA33" s="472">
        <f t="shared" si="1"/>
        <v>22.044062599999997</v>
      </c>
      <c r="AB33" s="472">
        <f t="shared" si="2"/>
        <v>31.602559400000001</v>
      </c>
      <c r="AC33" s="472">
        <f t="shared" si="3"/>
        <v>21.402721200000002</v>
      </c>
      <c r="AD33" s="472">
        <f t="shared" si="4"/>
        <v>21.979155799999997</v>
      </c>
      <c r="AE33" s="472">
        <f t="shared" si="5"/>
        <v>26.374241400000002</v>
      </c>
      <c r="AF33" s="472">
        <f t="shared" si="6"/>
        <v>37.615423399999997</v>
      </c>
      <c r="AG33" s="472">
        <f t="shared" si="7"/>
        <v>12.200855999999998</v>
      </c>
      <c r="AH33" s="472">
        <f t="shared" si="8"/>
        <v>5.4048762000000012</v>
      </c>
      <c r="AI33" s="472">
        <f t="shared" si="9"/>
        <v>13.124277099999999</v>
      </c>
      <c r="AJ33" s="666">
        <f t="shared" si="10"/>
        <v>9.0008374000000018</v>
      </c>
    </row>
    <row r="34" spans="2:36" ht="15" customHeight="1" x14ac:dyDescent="0.2">
      <c r="B34" s="739" t="s">
        <v>290</v>
      </c>
      <c r="C34" s="740">
        <v>67.429000000000002</v>
      </c>
      <c r="D34" s="752">
        <v>18.55</v>
      </c>
      <c r="E34" s="740">
        <v>57.585000000000001</v>
      </c>
      <c r="F34" s="752">
        <v>18.010000000000002</v>
      </c>
      <c r="G34" s="740">
        <v>42.152000000000001</v>
      </c>
      <c r="H34" s="752">
        <v>15.32</v>
      </c>
      <c r="I34" s="740">
        <v>70.442999999999998</v>
      </c>
      <c r="J34" s="752">
        <v>19.45</v>
      </c>
      <c r="K34" s="740">
        <v>80.106999999999999</v>
      </c>
      <c r="L34" s="752">
        <v>22.38</v>
      </c>
      <c r="M34" s="740">
        <v>47.362000000000002</v>
      </c>
      <c r="N34" s="752">
        <v>24.58</v>
      </c>
      <c r="O34" s="740">
        <v>67.798000000000002</v>
      </c>
      <c r="P34" s="752">
        <v>26.98</v>
      </c>
      <c r="Q34" s="740">
        <v>42.78</v>
      </c>
      <c r="R34" s="752">
        <v>30.35</v>
      </c>
      <c r="S34" s="740">
        <v>60.563000000000002</v>
      </c>
      <c r="T34" s="752">
        <v>35.53</v>
      </c>
      <c r="U34" s="740">
        <v>51.89</v>
      </c>
      <c r="V34" s="752">
        <v>40.020000000000003</v>
      </c>
      <c r="W34" s="740">
        <v>26.802</v>
      </c>
      <c r="X34" s="753">
        <v>17.53</v>
      </c>
      <c r="Z34" s="665">
        <f t="shared" si="0"/>
        <v>12.508079500000001</v>
      </c>
      <c r="AA34" s="472">
        <f t="shared" si="1"/>
        <v>10.371058500000002</v>
      </c>
      <c r="AB34" s="472">
        <f t="shared" si="2"/>
        <v>6.4576864</v>
      </c>
      <c r="AC34" s="472">
        <f t="shared" si="3"/>
        <v>13.7011635</v>
      </c>
      <c r="AD34" s="472">
        <f t="shared" si="4"/>
        <v>17.927946599999999</v>
      </c>
      <c r="AE34" s="472">
        <f t="shared" si="5"/>
        <v>11.6415796</v>
      </c>
      <c r="AF34" s="472">
        <f t="shared" si="6"/>
        <v>18.291900400000003</v>
      </c>
      <c r="AG34" s="472">
        <f t="shared" si="7"/>
        <v>12.983730000000001</v>
      </c>
      <c r="AH34" s="472">
        <f t="shared" si="8"/>
        <v>21.518033899999999</v>
      </c>
      <c r="AI34" s="472">
        <f t="shared" si="9"/>
        <v>20.766378</v>
      </c>
      <c r="AJ34" s="666">
        <f t="shared" si="10"/>
        <v>4.6983905999999998</v>
      </c>
    </row>
    <row r="35" spans="2:36" ht="15" customHeight="1" x14ac:dyDescent="0.2">
      <c r="B35" s="739" t="s">
        <v>291</v>
      </c>
      <c r="C35" s="740">
        <v>287.02800000000002</v>
      </c>
      <c r="D35" s="752">
        <v>18.52</v>
      </c>
      <c r="E35" s="740">
        <v>374.25299999999999</v>
      </c>
      <c r="F35" s="752">
        <v>17.09</v>
      </c>
      <c r="G35" s="740">
        <v>370.53500000000003</v>
      </c>
      <c r="H35" s="752">
        <v>16.57</v>
      </c>
      <c r="I35" s="740">
        <v>488.64299999999997</v>
      </c>
      <c r="J35" s="752">
        <v>18.55</v>
      </c>
      <c r="K35" s="740">
        <v>543.79</v>
      </c>
      <c r="L35" s="752">
        <v>19.170000000000002</v>
      </c>
      <c r="M35" s="740">
        <v>491.47399999999999</v>
      </c>
      <c r="N35" s="752">
        <v>18.88</v>
      </c>
      <c r="O35" s="740">
        <v>259.54899999999998</v>
      </c>
      <c r="P35" s="752">
        <v>21.27</v>
      </c>
      <c r="Q35" s="740">
        <v>197.40799999999999</v>
      </c>
      <c r="R35" s="752">
        <v>16.32</v>
      </c>
      <c r="S35" s="740">
        <v>181.24</v>
      </c>
      <c r="T35" s="752">
        <v>17.57</v>
      </c>
      <c r="U35" s="740">
        <v>251.57900000000001</v>
      </c>
      <c r="V35" s="752">
        <v>20.8</v>
      </c>
      <c r="W35" s="740">
        <v>262.19400000000002</v>
      </c>
      <c r="X35" s="753">
        <v>24.43</v>
      </c>
      <c r="Z35" s="665">
        <f t="shared" si="0"/>
        <v>53.157585600000004</v>
      </c>
      <c r="AA35" s="472">
        <f t="shared" si="1"/>
        <v>63.959837700000001</v>
      </c>
      <c r="AB35" s="472">
        <f t="shared" si="2"/>
        <v>61.397649500000007</v>
      </c>
      <c r="AC35" s="472">
        <f t="shared" si="3"/>
        <v>90.643276499999999</v>
      </c>
      <c r="AD35" s="472">
        <f t="shared" si="4"/>
        <v>104.24454299999999</v>
      </c>
      <c r="AE35" s="472">
        <f t="shared" si="5"/>
        <v>92.790291199999999</v>
      </c>
      <c r="AF35" s="472">
        <f t="shared" si="6"/>
        <v>55.206072299999995</v>
      </c>
      <c r="AG35" s="472">
        <f t="shared" si="7"/>
        <v>32.216985600000001</v>
      </c>
      <c r="AH35" s="472">
        <f t="shared" si="8"/>
        <v>31.843868000000001</v>
      </c>
      <c r="AI35" s="472">
        <f t="shared" si="9"/>
        <v>52.328431999999999</v>
      </c>
      <c r="AJ35" s="666">
        <f t="shared" si="10"/>
        <v>64.053994200000005</v>
      </c>
    </row>
    <row r="36" spans="2:36" ht="15" customHeight="1" x14ac:dyDescent="0.2">
      <c r="B36" s="739" t="s">
        <v>292</v>
      </c>
      <c r="C36" s="740">
        <v>215.75200000000001</v>
      </c>
      <c r="D36" s="752">
        <v>13.41</v>
      </c>
      <c r="E36" s="740">
        <v>244.52500000000001</v>
      </c>
      <c r="F36" s="752">
        <v>11.17</v>
      </c>
      <c r="G36" s="740">
        <v>207.72200000000001</v>
      </c>
      <c r="H36" s="752">
        <v>13.01</v>
      </c>
      <c r="I36" s="740">
        <v>217.655</v>
      </c>
      <c r="J36" s="752">
        <v>13.9</v>
      </c>
      <c r="K36" s="740">
        <v>220.10900000000001</v>
      </c>
      <c r="L36" s="752">
        <v>16.22</v>
      </c>
      <c r="M36" s="740">
        <v>136.70099999999999</v>
      </c>
      <c r="N36" s="752">
        <v>22.56</v>
      </c>
      <c r="O36" s="740">
        <v>145.036</v>
      </c>
      <c r="P36" s="752">
        <v>17.899999999999999</v>
      </c>
      <c r="Q36" s="740">
        <v>114.54</v>
      </c>
      <c r="R36" s="752">
        <v>17.809999999999999</v>
      </c>
      <c r="S36" s="740">
        <v>152.94</v>
      </c>
      <c r="T36" s="752">
        <v>26.64</v>
      </c>
      <c r="U36" s="740">
        <v>108.004</v>
      </c>
      <c r="V36" s="752">
        <v>14.32</v>
      </c>
      <c r="W36" s="740">
        <v>84.272000000000006</v>
      </c>
      <c r="X36" s="753">
        <v>8.18</v>
      </c>
      <c r="Z36" s="665">
        <f t="shared" si="0"/>
        <v>28.932343200000002</v>
      </c>
      <c r="AA36" s="472">
        <f t="shared" si="1"/>
        <v>27.313442500000001</v>
      </c>
      <c r="AB36" s="472">
        <f t="shared" si="2"/>
        <v>27.024632199999999</v>
      </c>
      <c r="AC36" s="472">
        <f t="shared" si="3"/>
        <v>30.254045000000001</v>
      </c>
      <c r="AD36" s="472">
        <f t="shared" si="4"/>
        <v>35.701679799999994</v>
      </c>
      <c r="AE36" s="472">
        <f t="shared" si="5"/>
        <v>30.839745599999997</v>
      </c>
      <c r="AF36" s="472">
        <f t="shared" si="6"/>
        <v>25.961443999999997</v>
      </c>
      <c r="AG36" s="472">
        <f t="shared" si="7"/>
        <v>20.399574000000001</v>
      </c>
      <c r="AH36" s="472">
        <f t="shared" si="8"/>
        <v>40.743216000000004</v>
      </c>
      <c r="AI36" s="472">
        <f t="shared" si="9"/>
        <v>15.466172800000002</v>
      </c>
      <c r="AJ36" s="666">
        <f t="shared" si="10"/>
        <v>6.8934496000000003</v>
      </c>
    </row>
    <row r="37" spans="2:36" ht="15" customHeight="1" x14ac:dyDescent="0.2">
      <c r="B37" s="739" t="s">
        <v>293</v>
      </c>
      <c r="C37" s="740">
        <v>268.62799999999999</v>
      </c>
      <c r="D37" s="752">
        <v>16.62</v>
      </c>
      <c r="E37" s="740">
        <v>198.71100000000001</v>
      </c>
      <c r="F37" s="752">
        <v>11.38</v>
      </c>
      <c r="G37" s="740">
        <v>222.637</v>
      </c>
      <c r="H37" s="752">
        <v>13.71</v>
      </c>
      <c r="I37" s="740">
        <v>318.28699999999998</v>
      </c>
      <c r="J37" s="752">
        <v>14.55</v>
      </c>
      <c r="K37" s="740">
        <v>226.78299999999999</v>
      </c>
      <c r="L37" s="752">
        <v>17.66</v>
      </c>
      <c r="M37" s="740">
        <v>196.238</v>
      </c>
      <c r="N37" s="752">
        <v>22.79</v>
      </c>
      <c r="O37" s="740">
        <v>146.887</v>
      </c>
      <c r="P37" s="752">
        <v>21.18</v>
      </c>
      <c r="Q37" s="740">
        <v>122.51900000000001</v>
      </c>
      <c r="R37" s="752">
        <v>25.35</v>
      </c>
      <c r="S37" s="740">
        <v>104.664</v>
      </c>
      <c r="T37" s="752">
        <v>18.86</v>
      </c>
      <c r="U37" s="740">
        <v>92.727999999999994</v>
      </c>
      <c r="V37" s="752">
        <v>9.23</v>
      </c>
      <c r="W37" s="740">
        <v>105.907</v>
      </c>
      <c r="X37" s="753">
        <v>15.1</v>
      </c>
      <c r="Z37" s="665">
        <f t="shared" si="0"/>
        <v>44.645973599999998</v>
      </c>
      <c r="AA37" s="472">
        <f t="shared" si="1"/>
        <v>22.613311800000002</v>
      </c>
      <c r="AB37" s="472">
        <f t="shared" si="2"/>
        <v>30.523532700000001</v>
      </c>
      <c r="AC37" s="472">
        <f t="shared" si="3"/>
        <v>46.310758499999999</v>
      </c>
      <c r="AD37" s="472">
        <f t="shared" si="4"/>
        <v>40.049877799999997</v>
      </c>
      <c r="AE37" s="472">
        <f t="shared" si="5"/>
        <v>44.722640199999994</v>
      </c>
      <c r="AF37" s="472">
        <f t="shared" si="6"/>
        <v>31.110666599999998</v>
      </c>
      <c r="AG37" s="472">
        <f t="shared" si="7"/>
        <v>31.058566500000001</v>
      </c>
      <c r="AH37" s="472">
        <f t="shared" si="8"/>
        <v>19.739630399999999</v>
      </c>
      <c r="AI37" s="472">
        <f t="shared" si="9"/>
        <v>8.5587944</v>
      </c>
      <c r="AJ37" s="666">
        <f t="shared" si="10"/>
        <v>15.991956999999999</v>
      </c>
    </row>
    <row r="38" spans="2:36" ht="15" customHeight="1" x14ac:dyDescent="0.2">
      <c r="B38" s="739" t="s">
        <v>294</v>
      </c>
      <c r="C38" s="740">
        <v>352.09399999999999</v>
      </c>
      <c r="D38" s="752">
        <v>15.34</v>
      </c>
      <c r="E38" s="740">
        <v>312.339</v>
      </c>
      <c r="F38" s="752">
        <v>13.78</v>
      </c>
      <c r="G38" s="740">
        <v>247.75899999999999</v>
      </c>
      <c r="H38" s="752">
        <v>16.149999999999999</v>
      </c>
      <c r="I38" s="740">
        <v>245.41300000000001</v>
      </c>
      <c r="J38" s="752">
        <v>12.48</v>
      </c>
      <c r="K38" s="740">
        <v>187.584</v>
      </c>
      <c r="L38" s="752">
        <v>13.34</v>
      </c>
      <c r="M38" s="740">
        <v>155.52799999999999</v>
      </c>
      <c r="N38" s="752">
        <v>12.49</v>
      </c>
      <c r="O38" s="740">
        <v>129.36000000000001</v>
      </c>
      <c r="P38" s="752">
        <v>21.25</v>
      </c>
      <c r="Q38" s="740">
        <v>107.85599999999999</v>
      </c>
      <c r="R38" s="752">
        <v>11.47</v>
      </c>
      <c r="S38" s="740">
        <v>108.97</v>
      </c>
      <c r="T38" s="752">
        <v>7.94</v>
      </c>
      <c r="U38" s="740">
        <v>136.33500000000001</v>
      </c>
      <c r="V38" s="752">
        <v>11.08</v>
      </c>
      <c r="W38" s="740">
        <v>106.096</v>
      </c>
      <c r="X38" s="753">
        <v>6.67</v>
      </c>
      <c r="Z38" s="665">
        <f t="shared" si="0"/>
        <v>54.011219599999997</v>
      </c>
      <c r="AA38" s="472">
        <f t="shared" si="1"/>
        <v>43.04031419999999</v>
      </c>
      <c r="AB38" s="472">
        <f t="shared" si="2"/>
        <v>40.013078499999992</v>
      </c>
      <c r="AC38" s="472">
        <f t="shared" si="3"/>
        <v>30.627542400000003</v>
      </c>
      <c r="AD38" s="472">
        <f t="shared" si="4"/>
        <v>25.0237056</v>
      </c>
      <c r="AE38" s="472">
        <f t="shared" si="5"/>
        <v>19.425447199999997</v>
      </c>
      <c r="AF38" s="472">
        <f t="shared" si="6"/>
        <v>27.489000000000001</v>
      </c>
      <c r="AG38" s="472">
        <f t="shared" si="7"/>
        <v>12.371083200000001</v>
      </c>
      <c r="AH38" s="472">
        <f t="shared" si="8"/>
        <v>8.6522179999999995</v>
      </c>
      <c r="AI38" s="472">
        <f t="shared" si="9"/>
        <v>15.105918000000001</v>
      </c>
      <c r="AJ38" s="666">
        <f t="shared" si="10"/>
        <v>7.076603200000001</v>
      </c>
    </row>
    <row r="39" spans="2:36" ht="15" customHeight="1" x14ac:dyDescent="0.2">
      <c r="B39" s="739" t="s">
        <v>295</v>
      </c>
      <c r="C39" s="740">
        <v>467.99599999999998</v>
      </c>
      <c r="D39" s="752">
        <v>15.18</v>
      </c>
      <c r="E39" s="740">
        <v>420.09199999999998</v>
      </c>
      <c r="F39" s="752">
        <v>14.44</v>
      </c>
      <c r="G39" s="740">
        <v>370.84199999999998</v>
      </c>
      <c r="H39" s="752">
        <v>17.559999999999999</v>
      </c>
      <c r="I39" s="740">
        <v>286.964</v>
      </c>
      <c r="J39" s="752">
        <v>14.65</v>
      </c>
      <c r="K39" s="740">
        <v>446.91</v>
      </c>
      <c r="L39" s="752">
        <v>17.71</v>
      </c>
      <c r="M39" s="740">
        <v>221.53100000000001</v>
      </c>
      <c r="N39" s="752">
        <v>21.03</v>
      </c>
      <c r="O39" s="740">
        <v>162.16200000000001</v>
      </c>
      <c r="P39" s="752">
        <v>18.11</v>
      </c>
      <c r="Q39" s="740">
        <v>200.52600000000001</v>
      </c>
      <c r="R39" s="752">
        <v>18.66</v>
      </c>
      <c r="S39" s="740">
        <v>140.03</v>
      </c>
      <c r="T39" s="752">
        <v>17.54</v>
      </c>
      <c r="U39" s="740">
        <v>150.005</v>
      </c>
      <c r="V39" s="752">
        <v>12.77</v>
      </c>
      <c r="W39" s="740">
        <v>467.99599999999998</v>
      </c>
      <c r="X39" s="753">
        <v>15.18</v>
      </c>
      <c r="Z39" s="665">
        <f t="shared" si="0"/>
        <v>71.041792799999996</v>
      </c>
      <c r="AA39" s="472">
        <f t="shared" si="1"/>
        <v>60.661284799999997</v>
      </c>
      <c r="AB39" s="472">
        <f t="shared" si="2"/>
        <v>65.119855199999989</v>
      </c>
      <c r="AC39" s="472">
        <f t="shared" si="3"/>
        <v>42.040226000000004</v>
      </c>
      <c r="AD39" s="472">
        <f t="shared" si="4"/>
        <v>79.147761000000003</v>
      </c>
      <c r="AE39" s="472">
        <f t="shared" si="5"/>
        <v>46.587969300000005</v>
      </c>
      <c r="AF39" s="472">
        <f t="shared" si="6"/>
        <v>29.367538199999998</v>
      </c>
      <c r="AG39" s="472">
        <f t="shared" si="7"/>
        <v>37.418151600000002</v>
      </c>
      <c r="AH39" s="472">
        <f t="shared" si="8"/>
        <v>24.561261999999996</v>
      </c>
      <c r="AI39" s="472">
        <f t="shared" si="9"/>
        <v>19.155638499999998</v>
      </c>
      <c r="AJ39" s="666">
        <f t="shared" si="10"/>
        <v>71.041792799999996</v>
      </c>
    </row>
    <row r="40" spans="2:36" ht="15" customHeight="1" thickBot="1" x14ac:dyDescent="0.25">
      <c r="B40" s="742" t="s">
        <v>296</v>
      </c>
      <c r="C40" s="743">
        <v>273.24700000000001</v>
      </c>
      <c r="D40" s="754">
        <v>10.98</v>
      </c>
      <c r="E40" s="743">
        <v>322.80900000000003</v>
      </c>
      <c r="F40" s="754">
        <v>15.41</v>
      </c>
      <c r="G40" s="743">
        <v>297.791</v>
      </c>
      <c r="H40" s="754">
        <v>11.33</v>
      </c>
      <c r="I40" s="743">
        <v>329.38299999999998</v>
      </c>
      <c r="J40" s="754">
        <v>17.11</v>
      </c>
      <c r="K40" s="743">
        <v>219.03200000000001</v>
      </c>
      <c r="L40" s="754">
        <v>13.09</v>
      </c>
      <c r="M40" s="743">
        <v>201.93100000000001</v>
      </c>
      <c r="N40" s="754">
        <v>15.73</v>
      </c>
      <c r="O40" s="743">
        <v>170.36799999999999</v>
      </c>
      <c r="P40" s="754">
        <v>14</v>
      </c>
      <c r="Q40" s="743">
        <v>171.24199999999999</v>
      </c>
      <c r="R40" s="754">
        <v>13.4</v>
      </c>
      <c r="S40" s="743">
        <v>142.273</v>
      </c>
      <c r="T40" s="754">
        <v>9.18</v>
      </c>
      <c r="U40" s="743">
        <v>158.34700000000001</v>
      </c>
      <c r="V40" s="754">
        <v>10.81</v>
      </c>
      <c r="W40" s="743">
        <v>158.708</v>
      </c>
      <c r="X40" s="755">
        <v>12.84</v>
      </c>
      <c r="Z40" s="683">
        <f t="shared" si="0"/>
        <v>30.002520600000004</v>
      </c>
      <c r="AA40" s="684">
        <f t="shared" si="1"/>
        <v>49.744866900000005</v>
      </c>
      <c r="AB40" s="684">
        <f t="shared" si="2"/>
        <v>33.739720300000002</v>
      </c>
      <c r="AC40" s="684">
        <f t="shared" si="3"/>
        <v>56.357431300000002</v>
      </c>
      <c r="AD40" s="684">
        <f t="shared" si="4"/>
        <v>28.671288800000003</v>
      </c>
      <c r="AE40" s="684">
        <f t="shared" si="5"/>
        <v>31.763746300000001</v>
      </c>
      <c r="AF40" s="684">
        <f t="shared" si="6"/>
        <v>23.851520000000001</v>
      </c>
      <c r="AG40" s="684">
        <f t="shared" si="7"/>
        <v>22.946428000000001</v>
      </c>
      <c r="AH40" s="684">
        <f t="shared" si="8"/>
        <v>13.060661399999999</v>
      </c>
      <c r="AI40" s="684">
        <f t="shared" si="9"/>
        <v>17.117310700000004</v>
      </c>
      <c r="AJ40" s="685">
        <f t="shared" si="10"/>
        <v>20.378107199999999</v>
      </c>
    </row>
    <row r="43" spans="2:36" ht="15" customHeight="1" x14ac:dyDescent="0.2">
      <c r="B43" s="1015" t="s">
        <v>92</v>
      </c>
      <c r="C43" s="733" t="s">
        <v>332</v>
      </c>
      <c r="D43" s="733" t="s">
        <v>222</v>
      </c>
      <c r="E43" s="733" t="s">
        <v>225</v>
      </c>
      <c r="F43" s="733" t="s">
        <v>226</v>
      </c>
      <c r="G43" s="733" t="s">
        <v>227</v>
      </c>
      <c r="H43" s="733" t="s">
        <v>228</v>
      </c>
      <c r="I43" s="733" t="s">
        <v>333</v>
      </c>
      <c r="J43" s="733" t="s">
        <v>334</v>
      </c>
      <c r="K43" s="733" t="s">
        <v>231</v>
      </c>
      <c r="L43" s="733" t="s">
        <v>232</v>
      </c>
      <c r="M43" s="733" t="s">
        <v>233</v>
      </c>
      <c r="N43" s="756"/>
    </row>
    <row r="44" spans="2:36" ht="15" customHeight="1" x14ac:dyDescent="0.2">
      <c r="B44" s="1016"/>
      <c r="C44" s="732" t="s">
        <v>309</v>
      </c>
      <c r="D44" s="732" t="s">
        <v>309</v>
      </c>
      <c r="E44" s="732" t="s">
        <v>309</v>
      </c>
      <c r="F44" s="732" t="s">
        <v>309</v>
      </c>
      <c r="G44" s="732" t="s">
        <v>309</v>
      </c>
      <c r="H44" s="732" t="s">
        <v>309</v>
      </c>
      <c r="I44" s="732" t="s">
        <v>309</v>
      </c>
      <c r="J44" s="732" t="s">
        <v>309</v>
      </c>
      <c r="K44" s="732" t="s">
        <v>309</v>
      </c>
      <c r="L44" s="732" t="s">
        <v>309</v>
      </c>
      <c r="M44" s="734" t="s">
        <v>309</v>
      </c>
      <c r="N44" s="757"/>
    </row>
    <row r="45" spans="2:36" ht="30" customHeight="1" thickBot="1" x14ac:dyDescent="0.25">
      <c r="B45" s="1017"/>
      <c r="C45" s="735" t="s">
        <v>326</v>
      </c>
      <c r="D45" s="735" t="s">
        <v>326</v>
      </c>
      <c r="E45" s="735" t="s">
        <v>326</v>
      </c>
      <c r="F45" s="735" t="s">
        <v>326</v>
      </c>
      <c r="G45" s="735" t="s">
        <v>326</v>
      </c>
      <c r="H45" s="735" t="s">
        <v>326</v>
      </c>
      <c r="I45" s="735" t="s">
        <v>326</v>
      </c>
      <c r="J45" s="735" t="s">
        <v>326</v>
      </c>
      <c r="K45" s="735" t="s">
        <v>326</v>
      </c>
      <c r="L45" s="735" t="s">
        <v>326</v>
      </c>
      <c r="M45" s="735" t="s">
        <v>326</v>
      </c>
      <c r="N45" s="758"/>
    </row>
    <row r="46" spans="2:36" ht="15" customHeight="1" x14ac:dyDescent="0.2">
      <c r="B46" s="736" t="s">
        <v>721</v>
      </c>
      <c r="C46" s="737">
        <f>C26</f>
        <v>2957.9369999999999</v>
      </c>
      <c r="D46" s="737">
        <f>E26</f>
        <v>3264.904</v>
      </c>
      <c r="E46" s="737">
        <f>G26</f>
        <v>2956.4490000000001</v>
      </c>
      <c r="F46" s="737">
        <f>I26</f>
        <v>3052.6990000000001</v>
      </c>
      <c r="G46" s="737">
        <f>K26</f>
        <v>2910.4050000000002</v>
      </c>
      <c r="H46" s="737">
        <f>M26</f>
        <v>2272.7440000000001</v>
      </c>
      <c r="I46" s="737">
        <f>O26</f>
        <v>1864.1179999999999</v>
      </c>
      <c r="J46" s="737">
        <f>Q26</f>
        <v>1537.9449999999999</v>
      </c>
      <c r="K46" s="737">
        <f>S26</f>
        <v>1437.366</v>
      </c>
      <c r="L46" s="737">
        <f>U26</f>
        <v>1622.8710000000001</v>
      </c>
      <c r="M46" s="738">
        <f>W26</f>
        <v>1370.6420000000001</v>
      </c>
      <c r="N46" s="737"/>
    </row>
    <row r="47" spans="2:36" ht="15" customHeight="1" x14ac:dyDescent="0.2">
      <c r="B47" s="739" t="s">
        <v>286</v>
      </c>
      <c r="C47" s="740">
        <f t="shared" ref="C47:C60" si="11">C27</f>
        <v>238.006</v>
      </c>
      <c r="D47" s="740">
        <f t="shared" ref="D47:D60" si="12">E27</f>
        <v>258.863</v>
      </c>
      <c r="E47" s="740">
        <f t="shared" ref="E47:E60" si="13">G27</f>
        <v>420.42200000000003</v>
      </c>
      <c r="F47" s="740">
        <f t="shared" ref="F47:F60" si="14">I27</f>
        <v>350.44</v>
      </c>
      <c r="G47" s="740">
        <f t="shared" ref="G47:G60" si="15">K27</f>
        <v>257.19099999999997</v>
      </c>
      <c r="H47" s="740">
        <f t="shared" ref="H47:H60" si="16">M27</f>
        <v>166.393</v>
      </c>
      <c r="I47" s="740">
        <f t="shared" ref="I47:I60" si="17">O27</f>
        <v>201.227</v>
      </c>
      <c r="J47" s="740">
        <f t="shared" ref="J47:J60" si="18">Q27</f>
        <v>148.386</v>
      </c>
      <c r="K47" s="740">
        <f t="shared" ref="K47:K60" si="19">S27</f>
        <v>183.33199999999999</v>
      </c>
      <c r="L47" s="740">
        <f t="shared" ref="L47:L60" si="20">U27</f>
        <v>200.94499999999999</v>
      </c>
      <c r="M47" s="741">
        <f t="shared" ref="M47:M60" si="21">W27</f>
        <v>184.821</v>
      </c>
      <c r="N47" s="740"/>
    </row>
    <row r="48" spans="2:36" ht="15" customHeight="1" x14ac:dyDescent="0.2">
      <c r="B48" s="739" t="s">
        <v>307</v>
      </c>
      <c r="C48" s="740">
        <f t="shared" si="11"/>
        <v>330.42700000000002</v>
      </c>
      <c r="D48" s="740">
        <f t="shared" si="12"/>
        <v>520.34100000000001</v>
      </c>
      <c r="E48" s="740">
        <f t="shared" si="13"/>
        <v>232.18</v>
      </c>
      <c r="F48" s="740">
        <f t="shared" si="14"/>
        <v>212.33600000000001</v>
      </c>
      <c r="G48" s="740">
        <f t="shared" si="15"/>
        <v>227.797</v>
      </c>
      <c r="H48" s="740">
        <f t="shared" si="16"/>
        <v>166.84</v>
      </c>
      <c r="I48" s="740">
        <f t="shared" si="17"/>
        <v>181.90899999999999</v>
      </c>
      <c r="J48" s="740">
        <f t="shared" si="18"/>
        <v>183.56899999999999</v>
      </c>
      <c r="K48" s="740">
        <f t="shared" si="19"/>
        <v>130.34399999999999</v>
      </c>
      <c r="L48" s="740">
        <f t="shared" si="20"/>
        <v>204.273</v>
      </c>
      <c r="M48" s="741">
        <f t="shared" si="21"/>
        <v>94.292000000000002</v>
      </c>
      <c r="N48" s="740"/>
    </row>
    <row r="49" spans="2:14" ht="15" customHeight="1" x14ac:dyDescent="0.2">
      <c r="B49" s="739" t="s">
        <v>287</v>
      </c>
      <c r="C49" s="740">
        <f t="shared" si="11"/>
        <v>166.202</v>
      </c>
      <c r="D49" s="740">
        <f t="shared" si="12"/>
        <v>201.37</v>
      </c>
      <c r="E49" s="740">
        <f t="shared" si="13"/>
        <v>164.31299999999999</v>
      </c>
      <c r="F49" s="740">
        <f t="shared" si="14"/>
        <v>251.798</v>
      </c>
      <c r="G49" s="740">
        <f t="shared" si="15"/>
        <v>269.90499999999997</v>
      </c>
      <c r="H49" s="740">
        <f t="shared" si="16"/>
        <v>213.79300000000001</v>
      </c>
      <c r="I49" s="740">
        <f t="shared" si="17"/>
        <v>159.32300000000001</v>
      </c>
      <c r="J49" s="740">
        <f t="shared" si="18"/>
        <v>71.361000000000004</v>
      </c>
      <c r="K49" s="740">
        <f t="shared" si="19"/>
        <v>108.282</v>
      </c>
      <c r="L49" s="740">
        <f t="shared" si="20"/>
        <v>89.23</v>
      </c>
      <c r="M49" s="741">
        <f t="shared" si="21"/>
        <v>86.304000000000002</v>
      </c>
      <c r="N49" s="740"/>
    </row>
    <row r="50" spans="2:14" ht="15" customHeight="1" x14ac:dyDescent="0.2">
      <c r="B50" s="739" t="s">
        <v>288</v>
      </c>
      <c r="C50" s="740">
        <f t="shared" si="11"/>
        <v>80.561999999999998</v>
      </c>
      <c r="D50" s="740">
        <f t="shared" si="12"/>
        <v>104.88500000000001</v>
      </c>
      <c r="E50" s="740">
        <f t="shared" si="13"/>
        <v>134.94200000000001</v>
      </c>
      <c r="F50" s="740">
        <f t="shared" si="14"/>
        <v>136.261</v>
      </c>
      <c r="G50" s="740">
        <f t="shared" si="15"/>
        <v>63.215000000000003</v>
      </c>
      <c r="H50" s="740">
        <f t="shared" si="16"/>
        <v>80.111000000000004</v>
      </c>
      <c r="I50" s="740">
        <f t="shared" si="17"/>
        <v>83.795000000000002</v>
      </c>
      <c r="J50" s="740">
        <f t="shared" si="18"/>
        <v>53.311999999999998</v>
      </c>
      <c r="K50" s="740">
        <f t="shared" si="19"/>
        <v>45.841000000000001</v>
      </c>
      <c r="L50" s="740">
        <f t="shared" si="20"/>
        <v>78.244</v>
      </c>
      <c r="M50" s="741">
        <f t="shared" si="21"/>
        <v>54.173999999999999</v>
      </c>
      <c r="N50" s="740"/>
    </row>
    <row r="51" spans="2:14" ht="15" customHeight="1" x14ac:dyDescent="0.2">
      <c r="B51" s="739" t="s">
        <v>305</v>
      </c>
      <c r="C51" s="740">
        <f t="shared" si="11"/>
        <v>22.687000000000001</v>
      </c>
      <c r="D51" s="740">
        <f t="shared" si="12"/>
        <v>47.752000000000002</v>
      </c>
      <c r="E51" s="740">
        <f t="shared" si="13"/>
        <v>23.611000000000001</v>
      </c>
      <c r="F51" s="740">
        <f t="shared" si="14"/>
        <v>29.257999999999999</v>
      </c>
      <c r="G51" s="740">
        <f t="shared" si="15"/>
        <v>28.265000000000001</v>
      </c>
      <c r="H51" s="740">
        <f t="shared" si="16"/>
        <v>19.815999999999999</v>
      </c>
      <c r="I51" s="740">
        <f t="shared" si="17"/>
        <v>10.875</v>
      </c>
      <c r="J51" s="740">
        <f t="shared" si="18"/>
        <v>24.6</v>
      </c>
      <c r="K51" s="740">
        <f t="shared" si="19"/>
        <v>13.582000000000001</v>
      </c>
      <c r="L51" s="740">
        <f t="shared" si="20"/>
        <v>22.170999999999999</v>
      </c>
      <c r="M51" s="741">
        <f t="shared" si="21"/>
        <v>15.65</v>
      </c>
      <c r="N51" s="740"/>
    </row>
    <row r="52" spans="2:14" ht="15" customHeight="1" x14ac:dyDescent="0.2">
      <c r="B52" s="739" t="s">
        <v>289</v>
      </c>
      <c r="C52" s="740">
        <f t="shared" si="11"/>
        <v>27.053000000000001</v>
      </c>
      <c r="D52" s="740">
        <f t="shared" si="12"/>
        <v>62.036000000000001</v>
      </c>
      <c r="E52" s="740">
        <f t="shared" si="13"/>
        <v>48.756999999999998</v>
      </c>
      <c r="F52" s="740">
        <f t="shared" si="14"/>
        <v>21.864000000000001</v>
      </c>
      <c r="G52" s="740">
        <f t="shared" si="15"/>
        <v>52.98</v>
      </c>
      <c r="H52" s="740">
        <f t="shared" si="16"/>
        <v>58.429000000000002</v>
      </c>
      <c r="I52" s="740">
        <f t="shared" si="17"/>
        <v>11.055</v>
      </c>
      <c r="J52" s="740">
        <f t="shared" si="18"/>
        <v>36.366</v>
      </c>
      <c r="K52" s="740">
        <f t="shared" si="19"/>
        <v>24.172000000000001</v>
      </c>
      <c r="L52" s="740">
        <f t="shared" si="20"/>
        <v>15.317</v>
      </c>
      <c r="M52" s="741">
        <f t="shared" si="21"/>
        <v>17.748999999999999</v>
      </c>
      <c r="N52" s="740"/>
    </row>
    <row r="53" spans="2:14" ht="15" customHeight="1" x14ac:dyDescent="0.2">
      <c r="B53" s="739" t="s">
        <v>306</v>
      </c>
      <c r="C53" s="740">
        <f t="shared" si="11"/>
        <v>160.82599999999999</v>
      </c>
      <c r="D53" s="740">
        <f t="shared" si="12"/>
        <v>139.34299999999999</v>
      </c>
      <c r="E53" s="740">
        <f t="shared" si="13"/>
        <v>172.786</v>
      </c>
      <c r="F53" s="740">
        <f t="shared" si="14"/>
        <v>93.953999999999994</v>
      </c>
      <c r="G53" s="740">
        <f t="shared" si="15"/>
        <v>86.736999999999995</v>
      </c>
      <c r="H53" s="740">
        <f t="shared" si="16"/>
        <v>116.59699999999999</v>
      </c>
      <c r="I53" s="740">
        <f t="shared" si="17"/>
        <v>134.774</v>
      </c>
      <c r="J53" s="740">
        <f t="shared" si="18"/>
        <v>63.48</v>
      </c>
      <c r="K53" s="740">
        <f t="shared" si="19"/>
        <v>41.133000000000003</v>
      </c>
      <c r="L53" s="740">
        <f t="shared" si="20"/>
        <v>63.802999999999997</v>
      </c>
      <c r="M53" s="741">
        <f t="shared" si="21"/>
        <v>58.523000000000003</v>
      </c>
      <c r="N53" s="740"/>
    </row>
    <row r="54" spans="2:14" ht="15" customHeight="1" x14ac:dyDescent="0.2">
      <c r="B54" s="739" t="s">
        <v>290</v>
      </c>
      <c r="C54" s="740">
        <f t="shared" si="11"/>
        <v>67.429000000000002</v>
      </c>
      <c r="D54" s="740">
        <f t="shared" si="12"/>
        <v>57.585000000000001</v>
      </c>
      <c r="E54" s="740">
        <f t="shared" si="13"/>
        <v>42.152000000000001</v>
      </c>
      <c r="F54" s="740">
        <f t="shared" si="14"/>
        <v>70.442999999999998</v>
      </c>
      <c r="G54" s="740">
        <f t="shared" si="15"/>
        <v>80.106999999999999</v>
      </c>
      <c r="H54" s="740">
        <f t="shared" si="16"/>
        <v>47.362000000000002</v>
      </c>
      <c r="I54" s="740">
        <f t="shared" si="17"/>
        <v>67.798000000000002</v>
      </c>
      <c r="J54" s="740">
        <f t="shared" si="18"/>
        <v>42.78</v>
      </c>
      <c r="K54" s="740">
        <f t="shared" si="19"/>
        <v>60.563000000000002</v>
      </c>
      <c r="L54" s="740">
        <f t="shared" si="20"/>
        <v>51.89</v>
      </c>
      <c r="M54" s="741">
        <f t="shared" si="21"/>
        <v>26.802</v>
      </c>
      <c r="N54" s="740"/>
    </row>
    <row r="55" spans="2:14" ht="15" customHeight="1" x14ac:dyDescent="0.2">
      <c r="B55" s="739" t="s">
        <v>291</v>
      </c>
      <c r="C55" s="740">
        <f t="shared" si="11"/>
        <v>287.02800000000002</v>
      </c>
      <c r="D55" s="740">
        <f t="shared" si="12"/>
        <v>374.25299999999999</v>
      </c>
      <c r="E55" s="740">
        <f t="shared" si="13"/>
        <v>370.53500000000003</v>
      </c>
      <c r="F55" s="740">
        <f t="shared" si="14"/>
        <v>488.64299999999997</v>
      </c>
      <c r="G55" s="740">
        <f t="shared" si="15"/>
        <v>543.79</v>
      </c>
      <c r="H55" s="740">
        <f t="shared" si="16"/>
        <v>491.47399999999999</v>
      </c>
      <c r="I55" s="740">
        <f t="shared" si="17"/>
        <v>259.54899999999998</v>
      </c>
      <c r="J55" s="740">
        <f t="shared" si="18"/>
        <v>197.40799999999999</v>
      </c>
      <c r="K55" s="740">
        <f t="shared" si="19"/>
        <v>181.24</v>
      </c>
      <c r="L55" s="740">
        <f t="shared" si="20"/>
        <v>251.57900000000001</v>
      </c>
      <c r="M55" s="741">
        <f t="shared" si="21"/>
        <v>262.19400000000002</v>
      </c>
      <c r="N55" s="740"/>
    </row>
    <row r="56" spans="2:14" ht="15" customHeight="1" x14ac:dyDescent="0.2">
      <c r="B56" s="739" t="s">
        <v>292</v>
      </c>
      <c r="C56" s="740">
        <f t="shared" si="11"/>
        <v>215.75200000000001</v>
      </c>
      <c r="D56" s="740">
        <f t="shared" si="12"/>
        <v>244.52500000000001</v>
      </c>
      <c r="E56" s="740">
        <f t="shared" si="13"/>
        <v>207.72200000000001</v>
      </c>
      <c r="F56" s="740">
        <f t="shared" si="14"/>
        <v>217.655</v>
      </c>
      <c r="G56" s="740">
        <f t="shared" si="15"/>
        <v>220.10900000000001</v>
      </c>
      <c r="H56" s="740">
        <f t="shared" si="16"/>
        <v>136.70099999999999</v>
      </c>
      <c r="I56" s="740">
        <f t="shared" si="17"/>
        <v>145.036</v>
      </c>
      <c r="J56" s="740">
        <f t="shared" si="18"/>
        <v>114.54</v>
      </c>
      <c r="K56" s="740">
        <f t="shared" si="19"/>
        <v>152.94</v>
      </c>
      <c r="L56" s="740">
        <f t="shared" si="20"/>
        <v>108.004</v>
      </c>
      <c r="M56" s="741">
        <f t="shared" si="21"/>
        <v>84.272000000000006</v>
      </c>
      <c r="N56" s="740"/>
    </row>
    <row r="57" spans="2:14" ht="15" customHeight="1" x14ac:dyDescent="0.2">
      <c r="B57" s="739" t="s">
        <v>293</v>
      </c>
      <c r="C57" s="740">
        <f t="shared" si="11"/>
        <v>268.62799999999999</v>
      </c>
      <c r="D57" s="740">
        <f t="shared" si="12"/>
        <v>198.71100000000001</v>
      </c>
      <c r="E57" s="740">
        <f t="shared" si="13"/>
        <v>222.637</v>
      </c>
      <c r="F57" s="740">
        <f t="shared" si="14"/>
        <v>318.28699999999998</v>
      </c>
      <c r="G57" s="740">
        <f t="shared" si="15"/>
        <v>226.78299999999999</v>
      </c>
      <c r="H57" s="740">
        <f t="shared" si="16"/>
        <v>196.238</v>
      </c>
      <c r="I57" s="740">
        <f t="shared" si="17"/>
        <v>146.887</v>
      </c>
      <c r="J57" s="740">
        <f t="shared" si="18"/>
        <v>122.51900000000001</v>
      </c>
      <c r="K57" s="740">
        <f t="shared" si="19"/>
        <v>104.664</v>
      </c>
      <c r="L57" s="740">
        <f t="shared" si="20"/>
        <v>92.727999999999994</v>
      </c>
      <c r="M57" s="741">
        <f t="shared" si="21"/>
        <v>105.907</v>
      </c>
      <c r="N57" s="740"/>
    </row>
    <row r="58" spans="2:14" ht="15" customHeight="1" x14ac:dyDescent="0.2">
      <c r="B58" s="739" t="s">
        <v>294</v>
      </c>
      <c r="C58" s="740">
        <f t="shared" si="11"/>
        <v>352.09399999999999</v>
      </c>
      <c r="D58" s="740">
        <f t="shared" si="12"/>
        <v>312.339</v>
      </c>
      <c r="E58" s="740">
        <f t="shared" si="13"/>
        <v>247.75899999999999</v>
      </c>
      <c r="F58" s="740">
        <f t="shared" si="14"/>
        <v>245.41300000000001</v>
      </c>
      <c r="G58" s="740">
        <f t="shared" si="15"/>
        <v>187.584</v>
      </c>
      <c r="H58" s="740">
        <f t="shared" si="16"/>
        <v>155.52799999999999</v>
      </c>
      <c r="I58" s="740">
        <f t="shared" si="17"/>
        <v>129.36000000000001</v>
      </c>
      <c r="J58" s="740">
        <f t="shared" si="18"/>
        <v>107.85599999999999</v>
      </c>
      <c r="K58" s="740">
        <f t="shared" si="19"/>
        <v>108.97</v>
      </c>
      <c r="L58" s="740">
        <f t="shared" si="20"/>
        <v>136.33500000000001</v>
      </c>
      <c r="M58" s="741">
        <f t="shared" si="21"/>
        <v>106.096</v>
      </c>
      <c r="N58" s="740"/>
    </row>
    <row r="59" spans="2:14" ht="15" customHeight="1" x14ac:dyDescent="0.2">
      <c r="B59" s="739" t="s">
        <v>295</v>
      </c>
      <c r="C59" s="740">
        <f t="shared" si="11"/>
        <v>467.99599999999998</v>
      </c>
      <c r="D59" s="740">
        <f t="shared" si="12"/>
        <v>420.09199999999998</v>
      </c>
      <c r="E59" s="740">
        <f t="shared" si="13"/>
        <v>370.84199999999998</v>
      </c>
      <c r="F59" s="740">
        <f t="shared" si="14"/>
        <v>286.964</v>
      </c>
      <c r="G59" s="740">
        <f t="shared" si="15"/>
        <v>446.91</v>
      </c>
      <c r="H59" s="740">
        <f t="shared" si="16"/>
        <v>221.53100000000001</v>
      </c>
      <c r="I59" s="740">
        <f t="shared" si="17"/>
        <v>162.16200000000001</v>
      </c>
      <c r="J59" s="740">
        <f t="shared" si="18"/>
        <v>200.52600000000001</v>
      </c>
      <c r="K59" s="740">
        <f t="shared" si="19"/>
        <v>140.03</v>
      </c>
      <c r="L59" s="740">
        <f t="shared" si="20"/>
        <v>150.005</v>
      </c>
      <c r="M59" s="741">
        <f t="shared" si="21"/>
        <v>467.99599999999998</v>
      </c>
      <c r="N59" s="740"/>
    </row>
    <row r="60" spans="2:14" ht="15" customHeight="1" thickBot="1" x14ac:dyDescent="0.25">
      <c r="B60" s="742" t="s">
        <v>296</v>
      </c>
      <c r="C60" s="743">
        <f t="shared" si="11"/>
        <v>273.24700000000001</v>
      </c>
      <c r="D60" s="743">
        <f t="shared" si="12"/>
        <v>322.80900000000003</v>
      </c>
      <c r="E60" s="743">
        <f t="shared" si="13"/>
        <v>297.791</v>
      </c>
      <c r="F60" s="743">
        <f t="shared" si="14"/>
        <v>329.38299999999998</v>
      </c>
      <c r="G60" s="743">
        <f t="shared" si="15"/>
        <v>219.03200000000001</v>
      </c>
      <c r="H60" s="743">
        <f t="shared" si="16"/>
        <v>201.93100000000001</v>
      </c>
      <c r="I60" s="743">
        <f t="shared" si="17"/>
        <v>170.36799999999999</v>
      </c>
      <c r="J60" s="743">
        <f t="shared" si="18"/>
        <v>171.24199999999999</v>
      </c>
      <c r="K60" s="743">
        <f t="shared" si="19"/>
        <v>142.273</v>
      </c>
      <c r="L60" s="743">
        <f t="shared" si="20"/>
        <v>158.34700000000001</v>
      </c>
      <c r="M60" s="744">
        <f t="shared" si="21"/>
        <v>158.708</v>
      </c>
      <c r="N60" s="740"/>
    </row>
    <row r="63" spans="2:14" ht="15" customHeight="1" x14ac:dyDescent="0.2">
      <c r="B63" s="1015" t="s">
        <v>92</v>
      </c>
      <c r="C63" s="733" t="s">
        <v>332</v>
      </c>
      <c r="D63" s="733" t="s">
        <v>222</v>
      </c>
      <c r="E63" s="733" t="s">
        <v>225</v>
      </c>
      <c r="F63" s="733" t="s">
        <v>226</v>
      </c>
      <c r="G63" s="733" t="s">
        <v>227</v>
      </c>
      <c r="H63" s="733" t="s">
        <v>228</v>
      </c>
      <c r="I63" s="733" t="s">
        <v>333</v>
      </c>
      <c r="J63" s="733" t="s">
        <v>334</v>
      </c>
      <c r="K63" s="733" t="s">
        <v>231</v>
      </c>
      <c r="L63" s="733" t="s">
        <v>232</v>
      </c>
      <c r="M63" s="733" t="s">
        <v>233</v>
      </c>
      <c r="N63" s="756"/>
    </row>
    <row r="64" spans="2:14" ht="15" customHeight="1" x14ac:dyDescent="0.2">
      <c r="B64" s="1016"/>
      <c r="C64" s="732" t="s">
        <v>486</v>
      </c>
      <c r="D64" s="732" t="s">
        <v>486</v>
      </c>
      <c r="E64" s="732" t="s">
        <v>486</v>
      </c>
      <c r="F64" s="732" t="s">
        <v>486</v>
      </c>
      <c r="G64" s="732" t="s">
        <v>486</v>
      </c>
      <c r="H64" s="732" t="s">
        <v>486</v>
      </c>
      <c r="I64" s="732" t="s">
        <v>486</v>
      </c>
      <c r="J64" s="732" t="s">
        <v>486</v>
      </c>
      <c r="K64" s="732" t="s">
        <v>486</v>
      </c>
      <c r="L64" s="732" t="s">
        <v>486</v>
      </c>
      <c r="M64" s="734" t="s">
        <v>486</v>
      </c>
      <c r="N64" s="757"/>
    </row>
    <row r="65" spans="2:14" ht="30" customHeight="1" thickBot="1" x14ac:dyDescent="0.25">
      <c r="B65" s="1017"/>
      <c r="C65" s="735" t="s">
        <v>326</v>
      </c>
      <c r="D65" s="735" t="s">
        <v>326</v>
      </c>
      <c r="E65" s="735" t="s">
        <v>326</v>
      </c>
      <c r="F65" s="735" t="s">
        <v>326</v>
      </c>
      <c r="G65" s="735" t="s">
        <v>326</v>
      </c>
      <c r="H65" s="735" t="s">
        <v>326</v>
      </c>
      <c r="I65" s="735" t="s">
        <v>326</v>
      </c>
      <c r="J65" s="735" t="s">
        <v>326</v>
      </c>
      <c r="K65" s="735" t="s">
        <v>326</v>
      </c>
      <c r="L65" s="735" t="s">
        <v>326</v>
      </c>
      <c r="M65" s="735" t="s">
        <v>326</v>
      </c>
      <c r="N65" s="758"/>
    </row>
    <row r="66" spans="2:14" ht="15" customHeight="1" x14ac:dyDescent="0.2">
      <c r="B66" s="736" t="s">
        <v>721</v>
      </c>
      <c r="C66" s="737">
        <f>SUM(C6,C26)</f>
        <v>4315.5749999999998</v>
      </c>
      <c r="D66" s="737">
        <f>SUM(D6,E26)</f>
        <v>4416.3530000000001</v>
      </c>
      <c r="E66" s="737">
        <f>SUM(E6,G26)</f>
        <v>4079.3850000000002</v>
      </c>
      <c r="F66" s="737">
        <f>SUM(F6,I26)</f>
        <v>4198.8140000000003</v>
      </c>
      <c r="G66" s="737">
        <f>SUM(G6,K26)</f>
        <v>4005.1950000000002</v>
      </c>
      <c r="H66" s="737">
        <f>SUM(H6,M26)</f>
        <v>3373.1030000000001</v>
      </c>
      <c r="I66" s="737">
        <f>SUM(I6,O26)</f>
        <v>2985</v>
      </c>
      <c r="J66" s="737">
        <f>SUM(J6,Q26)</f>
        <v>2609.3249999999998</v>
      </c>
      <c r="K66" s="737">
        <f>SUM(K6,S26)</f>
        <v>2341.1779999999999</v>
      </c>
      <c r="L66" s="737">
        <f>SUM(L6,U26)</f>
        <v>3048.777</v>
      </c>
      <c r="M66" s="738">
        <f>SUM(M6,W26)</f>
        <v>2239.576</v>
      </c>
      <c r="N66" s="737"/>
    </row>
    <row r="67" spans="2:14" ht="15" customHeight="1" x14ac:dyDescent="0.2">
      <c r="B67" s="739" t="s">
        <v>286</v>
      </c>
      <c r="C67" s="740">
        <f t="shared" ref="C67:C80" si="22">SUM(C7,C27)</f>
        <v>407.041</v>
      </c>
      <c r="D67" s="740">
        <f t="shared" ref="D67:D80" si="23">SUM(D7,E27)</f>
        <v>379.16800000000001</v>
      </c>
      <c r="E67" s="740">
        <f t="shared" ref="E67:E80" si="24">SUM(E7,G27)</f>
        <v>563.53500000000008</v>
      </c>
      <c r="F67" s="740">
        <f t="shared" ref="F67:F80" si="25">SUM(F7,I27)</f>
        <v>495.911</v>
      </c>
      <c r="G67" s="740">
        <f t="shared" ref="G67:G80" si="26">SUM(G7,K27)</f>
        <v>366.94399999999996</v>
      </c>
      <c r="H67" s="740">
        <f t="shared" ref="H67:H80" si="27">SUM(H7,M27)</f>
        <v>296.97500000000002</v>
      </c>
      <c r="I67" s="740">
        <f t="shared" ref="I67:I80" si="28">SUM(I7,O27)</f>
        <v>317.59300000000002</v>
      </c>
      <c r="J67" s="740">
        <f t="shared" ref="J67:J80" si="29">SUM(J7,Q27)</f>
        <v>248.09399999999999</v>
      </c>
      <c r="K67" s="740">
        <f t="shared" ref="K67:K80" si="30">SUM(K7,S27)</f>
        <v>292.09399999999999</v>
      </c>
      <c r="L67" s="740">
        <f t="shared" ref="L67:L80" si="31">SUM(L7,U27)</f>
        <v>389.24799999999999</v>
      </c>
      <c r="M67" s="741">
        <f t="shared" ref="M67:M80" si="32">SUM(M7,W27)</f>
        <v>280.13200000000001</v>
      </c>
      <c r="N67" s="740"/>
    </row>
    <row r="68" spans="2:14" ht="15" customHeight="1" x14ac:dyDescent="0.2">
      <c r="B68" s="739" t="s">
        <v>307</v>
      </c>
      <c r="C68" s="740">
        <f t="shared" si="22"/>
        <v>406.27600000000001</v>
      </c>
      <c r="D68" s="740">
        <f t="shared" si="23"/>
        <v>592.44100000000003</v>
      </c>
      <c r="E68" s="740">
        <f t="shared" si="24"/>
        <v>304.904</v>
      </c>
      <c r="F68" s="740">
        <f t="shared" si="25"/>
        <v>304.399</v>
      </c>
      <c r="G68" s="740">
        <f t="shared" si="26"/>
        <v>304.31399999999996</v>
      </c>
      <c r="H68" s="740">
        <f t="shared" si="27"/>
        <v>255.845</v>
      </c>
      <c r="I68" s="740">
        <f t="shared" si="28"/>
        <v>266.46699999999998</v>
      </c>
      <c r="J68" s="740">
        <f t="shared" si="29"/>
        <v>289.17199999999997</v>
      </c>
      <c r="K68" s="740">
        <f t="shared" si="30"/>
        <v>214.71199999999999</v>
      </c>
      <c r="L68" s="740">
        <f t="shared" si="31"/>
        <v>296.58600000000001</v>
      </c>
      <c r="M68" s="741">
        <f t="shared" si="32"/>
        <v>233.01500000000001</v>
      </c>
      <c r="N68" s="740"/>
    </row>
    <row r="69" spans="2:14" ht="15" customHeight="1" x14ac:dyDescent="0.2">
      <c r="B69" s="739" t="s">
        <v>287</v>
      </c>
      <c r="C69" s="740">
        <f t="shared" si="22"/>
        <v>334.46899999999999</v>
      </c>
      <c r="D69" s="740">
        <f t="shared" si="23"/>
        <v>351.05100000000004</v>
      </c>
      <c r="E69" s="740">
        <f t="shared" si="24"/>
        <v>307.07</v>
      </c>
      <c r="F69" s="740">
        <f t="shared" si="25"/>
        <v>415.77100000000002</v>
      </c>
      <c r="G69" s="740">
        <f t="shared" si="26"/>
        <v>433.87799999999999</v>
      </c>
      <c r="H69" s="740">
        <f t="shared" si="27"/>
        <v>382.81</v>
      </c>
      <c r="I69" s="740">
        <f t="shared" si="28"/>
        <v>286.60700000000003</v>
      </c>
      <c r="J69" s="740">
        <f t="shared" si="29"/>
        <v>181.59399999999999</v>
      </c>
      <c r="K69" s="740">
        <f t="shared" si="30"/>
        <v>190.33499999999998</v>
      </c>
      <c r="L69" s="740">
        <f t="shared" si="31"/>
        <v>172.649</v>
      </c>
      <c r="M69" s="741">
        <f t="shared" si="32"/>
        <v>155.56299999999999</v>
      </c>
      <c r="N69" s="740"/>
    </row>
    <row r="70" spans="2:14" ht="15" customHeight="1" x14ac:dyDescent="0.2">
      <c r="B70" s="739" t="s">
        <v>288</v>
      </c>
      <c r="C70" s="740">
        <f t="shared" si="22"/>
        <v>127.979</v>
      </c>
      <c r="D70" s="740">
        <f t="shared" si="23"/>
        <v>155.899</v>
      </c>
      <c r="E70" s="740">
        <f t="shared" si="24"/>
        <v>180.25900000000001</v>
      </c>
      <c r="F70" s="740">
        <f t="shared" si="25"/>
        <v>175.09199999999998</v>
      </c>
      <c r="G70" s="740">
        <f t="shared" si="26"/>
        <v>110.271</v>
      </c>
      <c r="H70" s="740">
        <f t="shared" si="27"/>
        <v>113.279</v>
      </c>
      <c r="I70" s="740">
        <f t="shared" si="28"/>
        <v>118.09100000000001</v>
      </c>
      <c r="J70" s="740">
        <f t="shared" si="29"/>
        <v>80.920999999999992</v>
      </c>
      <c r="K70" s="740">
        <f t="shared" si="30"/>
        <v>89.503999999999991</v>
      </c>
      <c r="L70" s="740">
        <f t="shared" si="31"/>
        <v>111.667</v>
      </c>
      <c r="M70" s="741">
        <f t="shared" si="32"/>
        <v>85.73</v>
      </c>
      <c r="N70" s="740"/>
    </row>
    <row r="71" spans="2:14" ht="15" customHeight="1" x14ac:dyDescent="0.2">
      <c r="B71" s="739" t="s">
        <v>305</v>
      </c>
      <c r="C71" s="740">
        <f t="shared" si="22"/>
        <v>25.514000000000003</v>
      </c>
      <c r="D71" s="740">
        <f t="shared" si="23"/>
        <v>55.722000000000001</v>
      </c>
      <c r="E71" s="740">
        <f t="shared" si="24"/>
        <v>29.957000000000001</v>
      </c>
      <c r="F71" s="740">
        <f t="shared" si="25"/>
        <v>33.829000000000001</v>
      </c>
      <c r="G71" s="740">
        <f t="shared" si="26"/>
        <v>34.227000000000004</v>
      </c>
      <c r="H71" s="740">
        <f t="shared" si="27"/>
        <v>25.134</v>
      </c>
      <c r="I71" s="740">
        <f t="shared" si="28"/>
        <v>14.837</v>
      </c>
      <c r="J71" s="740">
        <f t="shared" si="29"/>
        <v>30.034000000000002</v>
      </c>
      <c r="K71" s="740">
        <f t="shared" si="30"/>
        <v>16.440000000000001</v>
      </c>
      <c r="L71" s="740">
        <f t="shared" si="31"/>
        <v>24.884999999999998</v>
      </c>
      <c r="M71" s="741">
        <f t="shared" si="32"/>
        <v>18.541</v>
      </c>
      <c r="N71" s="740"/>
    </row>
    <row r="72" spans="2:14" ht="15" customHeight="1" x14ac:dyDescent="0.2">
      <c r="B72" s="739" t="s">
        <v>289</v>
      </c>
      <c r="C72" s="740">
        <f t="shared" si="22"/>
        <v>27.532</v>
      </c>
      <c r="D72" s="740">
        <f t="shared" si="23"/>
        <v>62.685000000000002</v>
      </c>
      <c r="E72" s="740">
        <f t="shared" si="24"/>
        <v>49.244</v>
      </c>
      <c r="F72" s="740">
        <f t="shared" si="25"/>
        <v>23.475999999999999</v>
      </c>
      <c r="G72" s="740">
        <f t="shared" si="26"/>
        <v>55.321999999999996</v>
      </c>
      <c r="H72" s="740">
        <f t="shared" si="27"/>
        <v>66.457000000000008</v>
      </c>
      <c r="I72" s="740">
        <f t="shared" si="28"/>
        <v>11.699</v>
      </c>
      <c r="J72" s="740">
        <f t="shared" si="29"/>
        <v>37.295999999999999</v>
      </c>
      <c r="K72" s="740">
        <f t="shared" si="30"/>
        <v>25.054000000000002</v>
      </c>
      <c r="L72" s="740">
        <f t="shared" si="31"/>
        <v>20.774999999999999</v>
      </c>
      <c r="M72" s="741">
        <f t="shared" si="32"/>
        <v>18.853999999999999</v>
      </c>
      <c r="N72" s="740"/>
    </row>
    <row r="73" spans="2:14" ht="15" customHeight="1" x14ac:dyDescent="0.2">
      <c r="B73" s="739" t="s">
        <v>306</v>
      </c>
      <c r="C73" s="740">
        <f t="shared" si="22"/>
        <v>174.13800000000001</v>
      </c>
      <c r="D73" s="740">
        <f t="shared" si="23"/>
        <v>154.935</v>
      </c>
      <c r="E73" s="740">
        <f t="shared" si="24"/>
        <v>186.46700000000001</v>
      </c>
      <c r="F73" s="740">
        <f t="shared" si="25"/>
        <v>112.44499999999999</v>
      </c>
      <c r="G73" s="740">
        <f t="shared" si="26"/>
        <v>106.086</v>
      </c>
      <c r="H73" s="740">
        <f t="shared" si="27"/>
        <v>141.87199999999999</v>
      </c>
      <c r="I73" s="740">
        <f t="shared" si="28"/>
        <v>157.08600000000001</v>
      </c>
      <c r="J73" s="740">
        <f t="shared" si="29"/>
        <v>104.803</v>
      </c>
      <c r="K73" s="740">
        <f t="shared" si="30"/>
        <v>62.898000000000003</v>
      </c>
      <c r="L73" s="740">
        <f t="shared" si="31"/>
        <v>121.31100000000001</v>
      </c>
      <c r="M73" s="741">
        <f t="shared" si="32"/>
        <v>79.451000000000008</v>
      </c>
      <c r="N73" s="740"/>
    </row>
    <row r="74" spans="2:14" ht="15" customHeight="1" x14ac:dyDescent="0.2">
      <c r="B74" s="739" t="s">
        <v>290</v>
      </c>
      <c r="C74" s="740">
        <f t="shared" si="22"/>
        <v>94.585999999999999</v>
      </c>
      <c r="D74" s="740">
        <f t="shared" si="23"/>
        <v>76.403000000000006</v>
      </c>
      <c r="E74" s="740">
        <f t="shared" si="24"/>
        <v>63.631</v>
      </c>
      <c r="F74" s="740">
        <f t="shared" si="25"/>
        <v>96.376000000000005</v>
      </c>
      <c r="G74" s="740">
        <f t="shared" si="26"/>
        <v>104.029</v>
      </c>
      <c r="H74" s="740">
        <f t="shared" si="27"/>
        <v>67.742999999999995</v>
      </c>
      <c r="I74" s="740">
        <f t="shared" si="28"/>
        <v>92.444000000000003</v>
      </c>
      <c r="J74" s="740">
        <f t="shared" si="29"/>
        <v>66.76400000000001</v>
      </c>
      <c r="K74" s="740">
        <f t="shared" si="30"/>
        <v>85.40100000000001</v>
      </c>
      <c r="L74" s="740">
        <f t="shared" si="31"/>
        <v>79.213999999999999</v>
      </c>
      <c r="M74" s="741">
        <f t="shared" si="32"/>
        <v>50.900999999999996</v>
      </c>
      <c r="N74" s="740"/>
    </row>
    <row r="75" spans="2:14" ht="15" customHeight="1" x14ac:dyDescent="0.2">
      <c r="B75" s="739" t="s">
        <v>291</v>
      </c>
      <c r="C75" s="740">
        <f t="shared" si="22"/>
        <v>818.62900000000002</v>
      </c>
      <c r="D75" s="740">
        <f t="shared" si="23"/>
        <v>738.75900000000001</v>
      </c>
      <c r="E75" s="740">
        <f t="shared" si="24"/>
        <v>676.61400000000003</v>
      </c>
      <c r="F75" s="740">
        <f t="shared" si="25"/>
        <v>773.03499999999997</v>
      </c>
      <c r="G75" s="740">
        <f t="shared" si="26"/>
        <v>827.86400000000003</v>
      </c>
      <c r="H75" s="740">
        <f t="shared" si="27"/>
        <v>731.29899999999998</v>
      </c>
      <c r="I75" s="740">
        <f t="shared" si="28"/>
        <v>603.54099999999994</v>
      </c>
      <c r="J75" s="740">
        <f t="shared" si="29"/>
        <v>510.26900000000001</v>
      </c>
      <c r="K75" s="740">
        <f t="shared" si="30"/>
        <v>434.50800000000004</v>
      </c>
      <c r="L75" s="740">
        <f t="shared" si="31"/>
        <v>697.98700000000008</v>
      </c>
      <c r="M75" s="741">
        <f t="shared" si="32"/>
        <v>446.68299999999999</v>
      </c>
      <c r="N75" s="740"/>
    </row>
    <row r="76" spans="2:14" ht="15" customHeight="1" x14ac:dyDescent="0.2">
      <c r="B76" s="739" t="s">
        <v>292</v>
      </c>
      <c r="C76" s="740">
        <f t="shared" si="22"/>
        <v>261.58300000000003</v>
      </c>
      <c r="D76" s="740">
        <f t="shared" si="23"/>
        <v>304.62400000000002</v>
      </c>
      <c r="E76" s="740">
        <f t="shared" si="24"/>
        <v>258.25800000000004</v>
      </c>
      <c r="F76" s="740">
        <f t="shared" si="25"/>
        <v>278.40100000000001</v>
      </c>
      <c r="G76" s="740">
        <f t="shared" si="26"/>
        <v>282.815</v>
      </c>
      <c r="H76" s="740">
        <f t="shared" si="27"/>
        <v>211.47899999999998</v>
      </c>
      <c r="I76" s="740">
        <f t="shared" si="28"/>
        <v>234.863</v>
      </c>
      <c r="J76" s="740">
        <f t="shared" si="29"/>
        <v>191.61099999999999</v>
      </c>
      <c r="K76" s="740">
        <f t="shared" si="30"/>
        <v>216.75200000000001</v>
      </c>
      <c r="L76" s="740">
        <f t="shared" si="31"/>
        <v>203.02100000000002</v>
      </c>
      <c r="M76" s="741">
        <f t="shared" si="32"/>
        <v>143.709</v>
      </c>
      <c r="N76" s="740"/>
    </row>
    <row r="77" spans="2:14" ht="15" customHeight="1" x14ac:dyDescent="0.2">
      <c r="B77" s="739" t="s">
        <v>293</v>
      </c>
      <c r="C77" s="740">
        <f t="shared" si="22"/>
        <v>274.88799999999998</v>
      </c>
      <c r="D77" s="740">
        <f t="shared" si="23"/>
        <v>206.20700000000002</v>
      </c>
      <c r="E77" s="740">
        <f t="shared" si="24"/>
        <v>229.96600000000001</v>
      </c>
      <c r="F77" s="740">
        <f t="shared" si="25"/>
        <v>323.50899999999996</v>
      </c>
      <c r="G77" s="740">
        <f t="shared" si="26"/>
        <v>233.29399999999998</v>
      </c>
      <c r="H77" s="740">
        <f t="shared" si="27"/>
        <v>215.06100000000001</v>
      </c>
      <c r="I77" s="740">
        <f t="shared" si="28"/>
        <v>155.95400000000001</v>
      </c>
      <c r="J77" s="740">
        <f t="shared" si="29"/>
        <v>128.89100000000002</v>
      </c>
      <c r="K77" s="740">
        <f t="shared" si="30"/>
        <v>113.45699999999999</v>
      </c>
      <c r="L77" s="740">
        <f t="shared" si="31"/>
        <v>132.76</v>
      </c>
      <c r="M77" s="741">
        <f t="shared" si="32"/>
        <v>115.50399999999999</v>
      </c>
      <c r="N77" s="740"/>
    </row>
    <row r="78" spans="2:14" ht="15" customHeight="1" x14ac:dyDescent="0.2">
      <c r="B78" s="739" t="s">
        <v>294</v>
      </c>
      <c r="C78" s="740">
        <f t="shared" si="22"/>
        <v>401.38900000000001</v>
      </c>
      <c r="D78" s="740">
        <f t="shared" si="23"/>
        <v>361.80200000000002</v>
      </c>
      <c r="E78" s="740">
        <f t="shared" si="24"/>
        <v>299.55099999999999</v>
      </c>
      <c r="F78" s="740">
        <f t="shared" si="25"/>
        <v>307.72800000000001</v>
      </c>
      <c r="G78" s="740">
        <f t="shared" si="26"/>
        <v>240.63800000000001</v>
      </c>
      <c r="H78" s="740">
        <f t="shared" si="27"/>
        <v>216.03199999999998</v>
      </c>
      <c r="I78" s="740">
        <f t="shared" si="28"/>
        <v>192.053</v>
      </c>
      <c r="J78" s="740">
        <f t="shared" si="29"/>
        <v>160.30199999999999</v>
      </c>
      <c r="K78" s="740">
        <f t="shared" si="30"/>
        <v>152.583</v>
      </c>
      <c r="L78" s="740">
        <f t="shared" si="31"/>
        <v>180.31200000000001</v>
      </c>
      <c r="M78" s="741">
        <f t="shared" si="32"/>
        <v>166.417</v>
      </c>
      <c r="N78" s="740"/>
    </row>
    <row r="79" spans="2:14" ht="15" customHeight="1" x14ac:dyDescent="0.2">
      <c r="B79" s="739" t="s">
        <v>295</v>
      </c>
      <c r="C79" s="740">
        <f t="shared" si="22"/>
        <v>587.85799999999995</v>
      </c>
      <c r="D79" s="740">
        <f t="shared" si="23"/>
        <v>549.98099999999999</v>
      </c>
      <c r="E79" s="740">
        <f t="shared" si="24"/>
        <v>516.08199999999999</v>
      </c>
      <c r="F79" s="740">
        <f t="shared" si="25"/>
        <v>430.43899999999996</v>
      </c>
      <c r="G79" s="740">
        <f t="shared" si="26"/>
        <v>575.42900000000009</v>
      </c>
      <c r="H79" s="740">
        <f t="shared" si="27"/>
        <v>353.23599999999999</v>
      </c>
      <c r="I79" s="740">
        <f t="shared" si="28"/>
        <v>282.73099999999999</v>
      </c>
      <c r="J79" s="740">
        <f t="shared" si="29"/>
        <v>318.29399999999998</v>
      </c>
      <c r="K79" s="740">
        <f t="shared" si="30"/>
        <v>238.982</v>
      </c>
      <c r="L79" s="740">
        <f t="shared" si="31"/>
        <v>251.84100000000001</v>
      </c>
      <c r="M79" s="741">
        <f t="shared" si="32"/>
        <v>563.4</v>
      </c>
      <c r="N79" s="740"/>
    </row>
    <row r="80" spans="2:14" ht="15" customHeight="1" thickBot="1" x14ac:dyDescent="0.25">
      <c r="B80" s="742" t="s">
        <v>296</v>
      </c>
      <c r="C80" s="743">
        <f t="shared" si="22"/>
        <v>373.69299999999998</v>
      </c>
      <c r="D80" s="743">
        <f t="shared" si="23"/>
        <v>426.67600000000004</v>
      </c>
      <c r="E80" s="743">
        <f t="shared" si="24"/>
        <v>413.84699999999998</v>
      </c>
      <c r="F80" s="743">
        <f t="shared" si="25"/>
        <v>428.40299999999996</v>
      </c>
      <c r="G80" s="743">
        <f t="shared" si="26"/>
        <v>330.084</v>
      </c>
      <c r="H80" s="743">
        <f t="shared" si="27"/>
        <v>295.88100000000003</v>
      </c>
      <c r="I80" s="743">
        <f t="shared" si="28"/>
        <v>251.03399999999999</v>
      </c>
      <c r="J80" s="743">
        <f t="shared" si="29"/>
        <v>261.27999999999997</v>
      </c>
      <c r="K80" s="743">
        <f t="shared" si="30"/>
        <v>208.458</v>
      </c>
      <c r="L80" s="743">
        <f t="shared" si="31"/>
        <v>366.52100000000002</v>
      </c>
      <c r="M80" s="744">
        <f t="shared" si="32"/>
        <v>234.52199999999999</v>
      </c>
      <c r="N80" s="740"/>
    </row>
  </sheetData>
  <mergeCells count="26">
    <mergeCell ref="Q23:R23"/>
    <mergeCell ref="S23:T23"/>
    <mergeCell ref="U23:V23"/>
    <mergeCell ref="B3:B5"/>
    <mergeCell ref="B23:B25"/>
    <mergeCell ref="C23:D23"/>
    <mergeCell ref="E23:F23"/>
    <mergeCell ref="G23:H23"/>
    <mergeCell ref="I23:J23"/>
    <mergeCell ref="U24:V24"/>
    <mergeCell ref="W24:X24"/>
    <mergeCell ref="B43:B45"/>
    <mergeCell ref="B63:B65"/>
    <mergeCell ref="W23:X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K23:L23"/>
    <mergeCell ref="M23:N23"/>
    <mergeCell ref="O23:P23"/>
  </mergeCells>
  <pageMargins left="0.7" right="0.7" top="0.75" bottom="0.75" header="0.3" footer="0.3"/>
  <pageSetup paperSize="9" orientation="portrait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AI142"/>
  <sheetViews>
    <sheetView zoomScaleNormal="100"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193</v>
      </c>
      <c r="C3" t="s">
        <v>490</v>
      </c>
    </row>
    <row r="5" spans="2:35" ht="15" customHeight="1" x14ac:dyDescent="0.2">
      <c r="B5" s="1109" t="s">
        <v>380</v>
      </c>
      <c r="C5" s="1089" t="s">
        <v>332</v>
      </c>
      <c r="D5" s="1089"/>
      <c r="E5" s="1089"/>
      <c r="F5" s="1089" t="s">
        <v>222</v>
      </c>
      <c r="G5" s="1089"/>
      <c r="H5" s="1089"/>
      <c r="I5" s="1018" t="s">
        <v>225</v>
      </c>
      <c r="J5" s="1019"/>
      <c r="K5" s="1021"/>
      <c r="L5" s="1018" t="s">
        <v>226</v>
      </c>
      <c r="M5" s="1019"/>
      <c r="N5" s="1021"/>
      <c r="O5" s="1018" t="s">
        <v>227</v>
      </c>
      <c r="P5" s="1019"/>
      <c r="Q5" s="1021"/>
      <c r="R5" s="1018" t="s">
        <v>228</v>
      </c>
      <c r="S5" s="1019"/>
      <c r="T5" s="1021"/>
      <c r="U5" s="1018" t="s">
        <v>333</v>
      </c>
      <c r="V5" s="1019"/>
      <c r="W5" s="1021"/>
      <c r="X5" s="1018" t="s">
        <v>334</v>
      </c>
      <c r="Y5" s="1019"/>
      <c r="Z5" s="1021"/>
      <c r="AA5" s="1018" t="s">
        <v>231</v>
      </c>
      <c r="AB5" s="1019"/>
      <c r="AC5" s="1021"/>
      <c r="AD5" s="1018" t="s">
        <v>232</v>
      </c>
      <c r="AE5" s="1019"/>
      <c r="AF5" s="1021"/>
      <c r="AG5" s="1018" t="s">
        <v>233</v>
      </c>
      <c r="AH5" s="1019"/>
      <c r="AI5" s="1019"/>
    </row>
    <row r="6" spans="2:35" ht="15" customHeight="1" x14ac:dyDescent="0.2">
      <c r="B6" s="1110"/>
      <c r="C6" s="732" t="s">
        <v>78</v>
      </c>
      <c r="D6" s="1091" t="s">
        <v>79</v>
      </c>
      <c r="E6" s="1091"/>
      <c r="F6" s="732" t="s">
        <v>78</v>
      </c>
      <c r="G6" s="1091" t="s">
        <v>79</v>
      </c>
      <c r="H6" s="1091"/>
      <c r="I6" s="732" t="s">
        <v>78</v>
      </c>
      <c r="J6" s="1013" t="s">
        <v>79</v>
      </c>
      <c r="K6" s="1020"/>
      <c r="L6" s="732" t="s">
        <v>78</v>
      </c>
      <c r="M6" s="1013" t="s">
        <v>79</v>
      </c>
      <c r="N6" s="1020"/>
      <c r="O6" s="732" t="s">
        <v>78</v>
      </c>
      <c r="P6" s="1013" t="s">
        <v>79</v>
      </c>
      <c r="Q6" s="1020"/>
      <c r="R6" s="732" t="s">
        <v>78</v>
      </c>
      <c r="S6" s="1013" t="s">
        <v>79</v>
      </c>
      <c r="T6" s="1020"/>
      <c r="U6" s="732" t="s">
        <v>78</v>
      </c>
      <c r="V6" s="1013" t="s">
        <v>79</v>
      </c>
      <c r="W6" s="1020"/>
      <c r="X6" s="732" t="s">
        <v>78</v>
      </c>
      <c r="Y6" s="1013" t="s">
        <v>79</v>
      </c>
      <c r="Z6" s="1020"/>
      <c r="AA6" s="732" t="s">
        <v>78</v>
      </c>
      <c r="AB6" s="1013" t="s">
        <v>79</v>
      </c>
      <c r="AC6" s="1020"/>
      <c r="AD6" s="732" t="s">
        <v>78</v>
      </c>
      <c r="AE6" s="1013" t="s">
        <v>79</v>
      </c>
      <c r="AF6" s="1020"/>
      <c r="AG6" s="732" t="s">
        <v>78</v>
      </c>
      <c r="AH6" s="1013" t="s">
        <v>79</v>
      </c>
      <c r="AI6" s="1014"/>
    </row>
    <row r="7" spans="2:35" ht="30" customHeight="1" x14ac:dyDescent="0.2">
      <c r="B7" s="1110"/>
      <c r="C7" s="1090" t="s">
        <v>326</v>
      </c>
      <c r="D7" s="1090"/>
      <c r="E7" s="130" t="s">
        <v>82</v>
      </c>
      <c r="F7" s="1090" t="s">
        <v>326</v>
      </c>
      <c r="G7" s="1090"/>
      <c r="H7" s="130" t="s">
        <v>82</v>
      </c>
      <c r="I7" s="1111" t="s">
        <v>326</v>
      </c>
      <c r="J7" s="1112"/>
      <c r="K7" s="130" t="s">
        <v>82</v>
      </c>
      <c r="L7" s="1111" t="s">
        <v>326</v>
      </c>
      <c r="M7" s="1112"/>
      <c r="N7" s="130" t="s">
        <v>82</v>
      </c>
      <c r="O7" s="1111" t="s">
        <v>326</v>
      </c>
      <c r="P7" s="1112"/>
      <c r="Q7" s="130" t="s">
        <v>82</v>
      </c>
      <c r="R7" s="1111" t="s">
        <v>326</v>
      </c>
      <c r="S7" s="1112"/>
      <c r="T7" s="130" t="s">
        <v>82</v>
      </c>
      <c r="U7" s="1111" t="s">
        <v>326</v>
      </c>
      <c r="V7" s="1112"/>
      <c r="W7" s="130" t="s">
        <v>82</v>
      </c>
      <c r="X7" s="1111" t="s">
        <v>326</v>
      </c>
      <c r="Y7" s="1112"/>
      <c r="Z7" s="130" t="s">
        <v>82</v>
      </c>
      <c r="AA7" s="1111" t="s">
        <v>326</v>
      </c>
      <c r="AB7" s="1112"/>
      <c r="AC7" s="130" t="s">
        <v>82</v>
      </c>
      <c r="AD7" s="1111" t="s">
        <v>326</v>
      </c>
      <c r="AE7" s="1112"/>
      <c r="AF7" s="130" t="s">
        <v>82</v>
      </c>
      <c r="AG7" s="1111" t="s">
        <v>326</v>
      </c>
      <c r="AH7" s="1112"/>
      <c r="AI7" s="131" t="s">
        <v>82</v>
      </c>
    </row>
    <row r="8" spans="2:35" ht="15" customHeight="1" x14ac:dyDescent="0.2">
      <c r="B8" s="759" t="str">
        <f>Index!$B$4</f>
        <v>England</v>
      </c>
      <c r="C8" s="760">
        <v>1357.6379999999999</v>
      </c>
      <c r="D8" s="760">
        <v>2957.9369999999999</v>
      </c>
      <c r="E8" s="761">
        <v>4.9175326735365372</v>
      </c>
      <c r="F8" s="760">
        <v>1146.115</v>
      </c>
      <c r="G8" s="760">
        <v>3264.904</v>
      </c>
      <c r="H8" s="761">
        <v>4.7723267050589984</v>
      </c>
      <c r="I8" s="760">
        <v>1122.9359999999999</v>
      </c>
      <c r="J8" s="760">
        <v>2956.4490000000001</v>
      </c>
      <c r="K8" s="761">
        <v>5.0877422572868625</v>
      </c>
      <c r="L8" s="760">
        <v>1146.115</v>
      </c>
      <c r="M8" s="760">
        <v>3052.6990000000001</v>
      </c>
      <c r="N8" s="761">
        <v>5.1812754658331821</v>
      </c>
      <c r="O8" s="760">
        <v>1094.79</v>
      </c>
      <c r="P8" s="760">
        <v>2910.4050000000002</v>
      </c>
      <c r="Q8" s="761">
        <v>5.8810833804531484</v>
      </c>
      <c r="R8" s="760">
        <v>1100.3589999999999</v>
      </c>
      <c r="S8" s="760">
        <v>2272.7440000000001</v>
      </c>
      <c r="T8" s="761">
        <v>6.3794291254089313</v>
      </c>
      <c r="U8" s="760">
        <v>1120.8820000000001</v>
      </c>
      <c r="V8" s="760">
        <v>1864.1179999999999</v>
      </c>
      <c r="W8" s="761">
        <v>6.0087275633713189</v>
      </c>
      <c r="X8" s="760">
        <v>1071.3800000000001</v>
      </c>
      <c r="Y8" s="760">
        <v>1537.9449999999999</v>
      </c>
      <c r="Z8" s="761">
        <v>5.3753890135659841</v>
      </c>
      <c r="AA8" s="760">
        <v>903.81200000000001</v>
      </c>
      <c r="AB8" s="760">
        <v>1437.366</v>
      </c>
      <c r="AC8" s="761">
        <v>5.6549002041536838</v>
      </c>
      <c r="AD8" s="760">
        <v>1425.9059999999999</v>
      </c>
      <c r="AE8" s="760">
        <v>1622.8710000000001</v>
      </c>
      <c r="AF8" s="761">
        <v>5.9226321723649189</v>
      </c>
      <c r="AG8" s="760">
        <v>868.93399999999997</v>
      </c>
      <c r="AH8" s="760">
        <v>1370.6420000000001</v>
      </c>
      <c r="AI8" s="762">
        <v>5.9733356391400863</v>
      </c>
    </row>
    <row r="9" spans="2:35" ht="15" customHeight="1" x14ac:dyDescent="0.2">
      <c r="B9" s="763" t="s">
        <v>286</v>
      </c>
      <c r="C9" s="764">
        <v>169.035</v>
      </c>
      <c r="D9" s="764">
        <v>238.006</v>
      </c>
      <c r="E9" s="765">
        <v>18.350000000000001</v>
      </c>
      <c r="F9" s="764">
        <v>145.471</v>
      </c>
      <c r="G9" s="764">
        <v>258.863</v>
      </c>
      <c r="H9" s="765">
        <v>16.739999999999998</v>
      </c>
      <c r="I9" s="764">
        <v>143.113</v>
      </c>
      <c r="J9" s="764">
        <v>420.42200000000003</v>
      </c>
      <c r="K9" s="765">
        <v>18.03</v>
      </c>
      <c r="L9" s="764">
        <v>145.471</v>
      </c>
      <c r="M9" s="764">
        <v>350.44</v>
      </c>
      <c r="N9" s="765">
        <v>15.81</v>
      </c>
      <c r="O9" s="764">
        <v>109.753</v>
      </c>
      <c r="P9" s="764">
        <v>257.19099999999997</v>
      </c>
      <c r="Q9" s="765">
        <v>19.52</v>
      </c>
      <c r="R9" s="764">
        <v>130.58199999999999</v>
      </c>
      <c r="S9" s="764">
        <v>166.393</v>
      </c>
      <c r="T9" s="765">
        <v>14.57</v>
      </c>
      <c r="U9" s="764">
        <v>116.366</v>
      </c>
      <c r="V9" s="764">
        <v>201.227</v>
      </c>
      <c r="W9" s="765">
        <v>18.16</v>
      </c>
      <c r="X9" s="764">
        <v>99.707999999999998</v>
      </c>
      <c r="Y9" s="764">
        <v>148.386</v>
      </c>
      <c r="Z9" s="765">
        <v>14.64</v>
      </c>
      <c r="AA9" s="764">
        <v>108.762</v>
      </c>
      <c r="AB9" s="764">
        <v>183.33199999999999</v>
      </c>
      <c r="AC9" s="765">
        <v>16.809999999999999</v>
      </c>
      <c r="AD9" s="764">
        <v>188.303</v>
      </c>
      <c r="AE9" s="764">
        <v>200.94499999999999</v>
      </c>
      <c r="AF9" s="765">
        <v>22.23</v>
      </c>
      <c r="AG9" s="764">
        <v>95.311000000000007</v>
      </c>
      <c r="AH9" s="764">
        <v>184.821</v>
      </c>
      <c r="AI9" s="766">
        <v>20.38</v>
      </c>
    </row>
    <row r="10" spans="2:35" ht="15" customHeight="1" x14ac:dyDescent="0.2">
      <c r="B10" s="763" t="s">
        <v>298</v>
      </c>
      <c r="C10" s="764">
        <v>75.849000000000004</v>
      </c>
      <c r="D10" s="764">
        <v>330.42700000000002</v>
      </c>
      <c r="E10" s="765">
        <v>17.149999999999999</v>
      </c>
      <c r="F10" s="764">
        <v>92.063000000000002</v>
      </c>
      <c r="G10" s="764">
        <v>520.34100000000001</v>
      </c>
      <c r="H10" s="765">
        <v>15.88</v>
      </c>
      <c r="I10" s="764">
        <v>72.724000000000004</v>
      </c>
      <c r="J10" s="764">
        <v>232.18</v>
      </c>
      <c r="K10" s="765">
        <v>11.5</v>
      </c>
      <c r="L10" s="764">
        <v>92.063000000000002</v>
      </c>
      <c r="M10" s="764">
        <v>212.33600000000001</v>
      </c>
      <c r="N10" s="765">
        <v>14.74</v>
      </c>
      <c r="O10" s="764">
        <v>76.516999999999996</v>
      </c>
      <c r="P10" s="764">
        <v>227.797</v>
      </c>
      <c r="Q10" s="765">
        <v>14.85</v>
      </c>
      <c r="R10" s="764">
        <v>89.004999999999995</v>
      </c>
      <c r="S10" s="764">
        <v>166.84</v>
      </c>
      <c r="T10" s="765">
        <v>21.27</v>
      </c>
      <c r="U10" s="764">
        <v>84.558000000000007</v>
      </c>
      <c r="V10" s="764">
        <v>181.90899999999999</v>
      </c>
      <c r="W10" s="765">
        <v>15.4</v>
      </c>
      <c r="X10" s="764">
        <v>105.60299999999999</v>
      </c>
      <c r="Y10" s="764">
        <v>183.56899999999999</v>
      </c>
      <c r="Z10" s="765">
        <v>15.26</v>
      </c>
      <c r="AA10" s="764">
        <v>84.367999999999995</v>
      </c>
      <c r="AB10" s="764">
        <v>130.34399999999999</v>
      </c>
      <c r="AC10" s="765">
        <v>16.260000000000002</v>
      </c>
      <c r="AD10" s="764">
        <v>92.313000000000002</v>
      </c>
      <c r="AE10" s="764">
        <v>204.273</v>
      </c>
      <c r="AF10" s="765">
        <v>19.190000000000001</v>
      </c>
      <c r="AG10" s="764">
        <v>138.72300000000001</v>
      </c>
      <c r="AH10" s="764">
        <v>94.292000000000002</v>
      </c>
      <c r="AI10" s="766">
        <v>6.48</v>
      </c>
    </row>
    <row r="11" spans="2:35" ht="15" customHeight="1" x14ac:dyDescent="0.2">
      <c r="B11" s="763" t="s">
        <v>287</v>
      </c>
      <c r="C11" s="764">
        <v>168.267</v>
      </c>
      <c r="D11" s="764">
        <v>166.202</v>
      </c>
      <c r="E11" s="765">
        <v>11.7</v>
      </c>
      <c r="F11" s="764">
        <v>163.97300000000001</v>
      </c>
      <c r="G11" s="764">
        <v>201.37</v>
      </c>
      <c r="H11" s="765">
        <v>13.18</v>
      </c>
      <c r="I11" s="764">
        <v>142.75700000000001</v>
      </c>
      <c r="J11" s="764">
        <v>164.31299999999999</v>
      </c>
      <c r="K11" s="765">
        <v>17.68</v>
      </c>
      <c r="L11" s="764">
        <v>163.97300000000001</v>
      </c>
      <c r="M11" s="764">
        <v>251.798</v>
      </c>
      <c r="N11" s="765">
        <v>18.3</v>
      </c>
      <c r="O11" s="764">
        <v>163.97300000000001</v>
      </c>
      <c r="P11" s="764">
        <v>269.90499999999997</v>
      </c>
      <c r="Q11" s="765">
        <v>16.97</v>
      </c>
      <c r="R11" s="764">
        <v>169.017</v>
      </c>
      <c r="S11" s="764">
        <v>213.79300000000001</v>
      </c>
      <c r="T11" s="765">
        <v>19.66</v>
      </c>
      <c r="U11" s="764">
        <v>127.28400000000001</v>
      </c>
      <c r="V11" s="764">
        <v>159.32300000000001</v>
      </c>
      <c r="W11" s="765">
        <v>19.53</v>
      </c>
      <c r="X11" s="764">
        <v>110.233</v>
      </c>
      <c r="Y11" s="764">
        <v>71.361000000000004</v>
      </c>
      <c r="Z11" s="765">
        <v>22.26</v>
      </c>
      <c r="AA11" s="764">
        <v>82.052999999999997</v>
      </c>
      <c r="AB11" s="764">
        <v>108.282</v>
      </c>
      <c r="AC11" s="765">
        <v>24.3</v>
      </c>
      <c r="AD11" s="764">
        <v>83.418999999999997</v>
      </c>
      <c r="AE11" s="764">
        <v>89.23</v>
      </c>
      <c r="AF11" s="765">
        <v>16.16</v>
      </c>
      <c r="AG11" s="764">
        <v>69.259</v>
      </c>
      <c r="AH11" s="764">
        <v>86.304000000000002</v>
      </c>
      <c r="AI11" s="766">
        <v>9.25</v>
      </c>
    </row>
    <row r="12" spans="2:35" ht="15" customHeight="1" x14ac:dyDescent="0.2">
      <c r="B12" s="763" t="s">
        <v>288</v>
      </c>
      <c r="C12" s="764">
        <v>47.417000000000002</v>
      </c>
      <c r="D12" s="764">
        <v>80.561999999999998</v>
      </c>
      <c r="E12" s="765">
        <v>17.87</v>
      </c>
      <c r="F12" s="764">
        <v>38.831000000000003</v>
      </c>
      <c r="G12" s="764">
        <v>104.88500000000001</v>
      </c>
      <c r="H12" s="765">
        <v>22.05</v>
      </c>
      <c r="I12" s="764">
        <v>45.317</v>
      </c>
      <c r="J12" s="764">
        <v>134.94200000000001</v>
      </c>
      <c r="K12" s="765">
        <v>29.77</v>
      </c>
      <c r="L12" s="764">
        <v>38.831000000000003</v>
      </c>
      <c r="M12" s="764">
        <v>136.261</v>
      </c>
      <c r="N12" s="765">
        <v>22.44</v>
      </c>
      <c r="O12" s="764">
        <v>47.055999999999997</v>
      </c>
      <c r="P12" s="764">
        <v>63.215000000000003</v>
      </c>
      <c r="Q12" s="765">
        <v>20.62</v>
      </c>
      <c r="R12" s="764">
        <v>33.167999999999999</v>
      </c>
      <c r="S12" s="764">
        <v>80.111000000000004</v>
      </c>
      <c r="T12" s="765">
        <v>39.979999999999997</v>
      </c>
      <c r="U12" s="764">
        <v>34.295999999999999</v>
      </c>
      <c r="V12" s="764">
        <v>83.795000000000002</v>
      </c>
      <c r="W12" s="765">
        <v>34.08</v>
      </c>
      <c r="X12" s="764">
        <v>27.609000000000002</v>
      </c>
      <c r="Y12" s="764">
        <v>53.311999999999998</v>
      </c>
      <c r="Z12" s="765">
        <v>24.38</v>
      </c>
      <c r="AA12" s="764">
        <v>43.662999999999997</v>
      </c>
      <c r="AB12" s="764">
        <v>45.841000000000001</v>
      </c>
      <c r="AC12" s="765">
        <v>14.85</v>
      </c>
      <c r="AD12" s="764">
        <v>33.423000000000002</v>
      </c>
      <c r="AE12" s="764">
        <v>78.244</v>
      </c>
      <c r="AF12" s="765">
        <v>38.4</v>
      </c>
      <c r="AG12" s="764">
        <v>31.556000000000001</v>
      </c>
      <c r="AH12" s="764">
        <v>54.173999999999999</v>
      </c>
      <c r="AI12" s="766">
        <v>19.100000000000001</v>
      </c>
    </row>
    <row r="13" spans="2:35" ht="15" customHeight="1" x14ac:dyDescent="0.2">
      <c r="B13" s="763" t="s">
        <v>301</v>
      </c>
      <c r="C13" s="764">
        <v>2.827</v>
      </c>
      <c r="D13" s="764">
        <v>22.687000000000001</v>
      </c>
      <c r="E13" s="765">
        <v>29.86</v>
      </c>
      <c r="F13" s="764">
        <v>4.5709999999999997</v>
      </c>
      <c r="G13" s="764">
        <v>47.752000000000002</v>
      </c>
      <c r="H13" s="765">
        <v>29.88</v>
      </c>
      <c r="I13" s="764">
        <v>6.3460000000000001</v>
      </c>
      <c r="J13" s="764">
        <v>23.611000000000001</v>
      </c>
      <c r="K13" s="765">
        <v>27.54</v>
      </c>
      <c r="L13" s="764">
        <v>4.5709999999999997</v>
      </c>
      <c r="M13" s="764">
        <v>29.257999999999999</v>
      </c>
      <c r="N13" s="765">
        <v>30.38</v>
      </c>
      <c r="O13" s="764">
        <v>5.9619999999999997</v>
      </c>
      <c r="P13" s="764">
        <v>28.265000000000001</v>
      </c>
      <c r="Q13" s="765">
        <v>42.71</v>
      </c>
      <c r="R13" s="764">
        <v>5.3179999999999996</v>
      </c>
      <c r="S13" s="764">
        <v>19.815999999999999</v>
      </c>
      <c r="T13" s="765">
        <v>32.51</v>
      </c>
      <c r="U13" s="764">
        <v>3.9620000000000002</v>
      </c>
      <c r="V13" s="764">
        <v>10.875</v>
      </c>
      <c r="W13" s="765">
        <v>28.31</v>
      </c>
      <c r="X13" s="764">
        <v>5.4340000000000002</v>
      </c>
      <c r="Y13" s="764">
        <v>24.6</v>
      </c>
      <c r="Z13" s="765">
        <v>42.45</v>
      </c>
      <c r="AA13" s="764">
        <v>2.8580000000000001</v>
      </c>
      <c r="AB13" s="764">
        <v>13.582000000000001</v>
      </c>
      <c r="AC13" s="765">
        <v>26.34</v>
      </c>
      <c r="AD13" s="764">
        <v>2.714</v>
      </c>
      <c r="AE13" s="764">
        <v>22.170999999999999</v>
      </c>
      <c r="AF13" s="765">
        <v>29.61</v>
      </c>
      <c r="AG13" s="764">
        <v>2.891</v>
      </c>
      <c r="AH13" s="764">
        <v>15.65</v>
      </c>
      <c r="AI13" s="766">
        <v>25.87</v>
      </c>
    </row>
    <row r="14" spans="2:35" ht="15" customHeight="1" x14ac:dyDescent="0.2">
      <c r="B14" s="763" t="s">
        <v>302</v>
      </c>
      <c r="C14" s="764">
        <v>0.47899999999999998</v>
      </c>
      <c r="D14" s="764">
        <v>27.053000000000001</v>
      </c>
      <c r="E14" s="765">
        <v>17.91</v>
      </c>
      <c r="F14" s="764">
        <v>1.6120000000000001</v>
      </c>
      <c r="G14" s="764">
        <v>62.036000000000001</v>
      </c>
      <c r="H14" s="765">
        <v>21.65</v>
      </c>
      <c r="I14" s="764">
        <v>0.48699999999999999</v>
      </c>
      <c r="J14" s="764">
        <v>48.756999999999998</v>
      </c>
      <c r="K14" s="765">
        <v>30.01</v>
      </c>
      <c r="L14" s="764">
        <v>1.6120000000000001</v>
      </c>
      <c r="M14" s="764">
        <v>21.864000000000001</v>
      </c>
      <c r="N14" s="765">
        <v>23.89</v>
      </c>
      <c r="O14" s="764">
        <v>2.3420000000000001</v>
      </c>
      <c r="P14" s="764">
        <v>52.98</v>
      </c>
      <c r="Q14" s="765">
        <v>58.36</v>
      </c>
      <c r="R14" s="764">
        <v>8.0280000000000005</v>
      </c>
      <c r="S14" s="764">
        <v>58.429000000000002</v>
      </c>
      <c r="T14" s="765">
        <v>33.86</v>
      </c>
      <c r="U14" s="764">
        <v>0.64400000000000002</v>
      </c>
      <c r="V14" s="764">
        <v>11.055</v>
      </c>
      <c r="W14" s="765">
        <v>23.5</v>
      </c>
      <c r="X14" s="764">
        <v>0.93</v>
      </c>
      <c r="Y14" s="764">
        <v>36.366</v>
      </c>
      <c r="Z14" s="765">
        <v>41.85</v>
      </c>
      <c r="AA14" s="764">
        <v>0.88200000000000001</v>
      </c>
      <c r="AB14" s="764">
        <v>24.172000000000001</v>
      </c>
      <c r="AC14" s="765">
        <v>29.73</v>
      </c>
      <c r="AD14" s="764">
        <v>5.4580000000000002</v>
      </c>
      <c r="AE14" s="764">
        <v>15.317</v>
      </c>
      <c r="AF14" s="765">
        <v>20.91</v>
      </c>
      <c r="AG14" s="764">
        <v>1.105</v>
      </c>
      <c r="AH14" s="764">
        <v>17.748999999999999</v>
      </c>
      <c r="AI14" s="766">
        <v>18.61</v>
      </c>
    </row>
    <row r="15" spans="2:35" ht="15" customHeight="1" x14ac:dyDescent="0.2">
      <c r="B15" s="763" t="s">
        <v>303</v>
      </c>
      <c r="C15" s="764">
        <v>13.311999999999999</v>
      </c>
      <c r="D15" s="764">
        <v>160.82599999999999</v>
      </c>
      <c r="E15" s="765">
        <v>16.54</v>
      </c>
      <c r="F15" s="764">
        <v>18.491</v>
      </c>
      <c r="G15" s="764">
        <v>139.34299999999999</v>
      </c>
      <c r="H15" s="765">
        <v>15.82</v>
      </c>
      <c r="I15" s="764">
        <v>13.680999999999999</v>
      </c>
      <c r="J15" s="764">
        <v>172.786</v>
      </c>
      <c r="K15" s="765">
        <v>18.29</v>
      </c>
      <c r="L15" s="764">
        <v>18.491</v>
      </c>
      <c r="M15" s="764">
        <v>93.953999999999994</v>
      </c>
      <c r="N15" s="765">
        <v>22.78</v>
      </c>
      <c r="O15" s="764">
        <v>19.349</v>
      </c>
      <c r="P15" s="764">
        <v>86.736999999999995</v>
      </c>
      <c r="Q15" s="765">
        <v>25.34</v>
      </c>
      <c r="R15" s="764">
        <v>25.274999999999999</v>
      </c>
      <c r="S15" s="764">
        <v>116.59699999999999</v>
      </c>
      <c r="T15" s="765">
        <v>22.62</v>
      </c>
      <c r="U15" s="764">
        <v>22.312000000000001</v>
      </c>
      <c r="V15" s="764">
        <v>134.774</v>
      </c>
      <c r="W15" s="765">
        <v>27.91</v>
      </c>
      <c r="X15" s="764">
        <v>41.323</v>
      </c>
      <c r="Y15" s="764">
        <v>63.48</v>
      </c>
      <c r="Z15" s="765">
        <v>19.22</v>
      </c>
      <c r="AA15" s="764">
        <v>21.765000000000001</v>
      </c>
      <c r="AB15" s="764">
        <v>41.133000000000003</v>
      </c>
      <c r="AC15" s="765">
        <v>13.14</v>
      </c>
      <c r="AD15" s="764">
        <v>57.508000000000003</v>
      </c>
      <c r="AE15" s="764">
        <v>63.802999999999997</v>
      </c>
      <c r="AF15" s="765">
        <v>20.57</v>
      </c>
      <c r="AG15" s="764">
        <v>20.928000000000001</v>
      </c>
      <c r="AH15" s="764">
        <v>58.523000000000003</v>
      </c>
      <c r="AI15" s="766">
        <v>15.38</v>
      </c>
    </row>
    <row r="16" spans="2:35" ht="15" customHeight="1" x14ac:dyDescent="0.2">
      <c r="B16" s="763" t="s">
        <v>304</v>
      </c>
      <c r="C16" s="764">
        <v>27.157</v>
      </c>
      <c r="D16" s="764">
        <v>67.429000000000002</v>
      </c>
      <c r="E16" s="765">
        <v>18.55</v>
      </c>
      <c r="F16" s="764">
        <v>25.933</v>
      </c>
      <c r="G16" s="764">
        <v>57.585000000000001</v>
      </c>
      <c r="H16" s="765">
        <v>18.010000000000002</v>
      </c>
      <c r="I16" s="764">
        <v>21.478999999999999</v>
      </c>
      <c r="J16" s="764">
        <v>42.152000000000001</v>
      </c>
      <c r="K16" s="765">
        <v>15.32</v>
      </c>
      <c r="L16" s="764">
        <v>25.933</v>
      </c>
      <c r="M16" s="764">
        <v>70.442999999999998</v>
      </c>
      <c r="N16" s="765">
        <v>19.45</v>
      </c>
      <c r="O16" s="764">
        <v>23.922000000000001</v>
      </c>
      <c r="P16" s="764">
        <v>80.106999999999999</v>
      </c>
      <c r="Q16" s="765">
        <v>22.38</v>
      </c>
      <c r="R16" s="764">
        <v>20.381</v>
      </c>
      <c r="S16" s="764">
        <v>47.362000000000002</v>
      </c>
      <c r="T16" s="765">
        <v>24.58</v>
      </c>
      <c r="U16" s="764">
        <v>24.646000000000001</v>
      </c>
      <c r="V16" s="764">
        <v>67.798000000000002</v>
      </c>
      <c r="W16" s="765">
        <v>26.98</v>
      </c>
      <c r="X16" s="764">
        <v>23.984000000000002</v>
      </c>
      <c r="Y16" s="764">
        <v>42.78</v>
      </c>
      <c r="Z16" s="765">
        <v>30.35</v>
      </c>
      <c r="AA16" s="764">
        <v>24.838000000000001</v>
      </c>
      <c r="AB16" s="764">
        <v>60.563000000000002</v>
      </c>
      <c r="AC16" s="765">
        <v>35.53</v>
      </c>
      <c r="AD16" s="764">
        <v>27.324000000000002</v>
      </c>
      <c r="AE16" s="764">
        <v>51.89</v>
      </c>
      <c r="AF16" s="765">
        <v>40.020000000000003</v>
      </c>
      <c r="AG16" s="764">
        <v>24.099</v>
      </c>
      <c r="AH16" s="764">
        <v>26.802</v>
      </c>
      <c r="AI16" s="766">
        <v>17.53</v>
      </c>
    </row>
    <row r="17" spans="2:35" ht="15" customHeight="1" x14ac:dyDescent="0.2">
      <c r="B17" s="763" t="s">
        <v>291</v>
      </c>
      <c r="C17" s="764">
        <v>531.601</v>
      </c>
      <c r="D17" s="764">
        <v>287.02800000000002</v>
      </c>
      <c r="E17" s="765">
        <v>18.52</v>
      </c>
      <c r="F17" s="764">
        <v>284.392</v>
      </c>
      <c r="G17" s="764">
        <v>374.25299999999999</v>
      </c>
      <c r="H17" s="765">
        <v>17.09</v>
      </c>
      <c r="I17" s="764">
        <v>306.07900000000001</v>
      </c>
      <c r="J17" s="764">
        <v>370.53500000000003</v>
      </c>
      <c r="K17" s="765">
        <v>16.57</v>
      </c>
      <c r="L17" s="764">
        <v>284.392</v>
      </c>
      <c r="M17" s="764">
        <v>488.64299999999997</v>
      </c>
      <c r="N17" s="765">
        <v>18.55</v>
      </c>
      <c r="O17" s="764">
        <v>284.07400000000001</v>
      </c>
      <c r="P17" s="764">
        <v>543.79</v>
      </c>
      <c r="Q17" s="765">
        <v>19.170000000000002</v>
      </c>
      <c r="R17" s="764">
        <v>239.82499999999999</v>
      </c>
      <c r="S17" s="764">
        <v>491.47399999999999</v>
      </c>
      <c r="T17" s="765">
        <v>18.88</v>
      </c>
      <c r="U17" s="764">
        <v>343.99200000000002</v>
      </c>
      <c r="V17" s="764">
        <v>259.54899999999998</v>
      </c>
      <c r="W17" s="765">
        <v>21.27</v>
      </c>
      <c r="X17" s="764">
        <v>312.86099999999999</v>
      </c>
      <c r="Y17" s="764">
        <v>197.40799999999999</v>
      </c>
      <c r="Z17" s="765">
        <v>16.32</v>
      </c>
      <c r="AA17" s="764">
        <v>253.268</v>
      </c>
      <c r="AB17" s="764">
        <v>181.24</v>
      </c>
      <c r="AC17" s="765">
        <v>17.57</v>
      </c>
      <c r="AD17" s="764">
        <v>446.40800000000002</v>
      </c>
      <c r="AE17" s="764">
        <v>251.57900000000001</v>
      </c>
      <c r="AF17" s="765">
        <v>20.8</v>
      </c>
      <c r="AG17" s="764">
        <v>184.489</v>
      </c>
      <c r="AH17" s="764">
        <v>262.19400000000002</v>
      </c>
      <c r="AI17" s="766">
        <v>24.43</v>
      </c>
    </row>
    <row r="18" spans="2:35" ht="15" customHeight="1" x14ac:dyDescent="0.2">
      <c r="B18" s="763" t="s">
        <v>292</v>
      </c>
      <c r="C18" s="764">
        <v>45.831000000000003</v>
      </c>
      <c r="D18" s="764">
        <v>215.75200000000001</v>
      </c>
      <c r="E18" s="765">
        <v>13.41</v>
      </c>
      <c r="F18" s="764">
        <v>60.746000000000002</v>
      </c>
      <c r="G18" s="764">
        <v>244.52500000000001</v>
      </c>
      <c r="H18" s="765">
        <v>11.17</v>
      </c>
      <c r="I18" s="764">
        <v>50.536000000000001</v>
      </c>
      <c r="J18" s="764">
        <v>207.72200000000001</v>
      </c>
      <c r="K18" s="765">
        <v>13.01</v>
      </c>
      <c r="L18" s="764">
        <v>60.746000000000002</v>
      </c>
      <c r="M18" s="764">
        <v>217.655</v>
      </c>
      <c r="N18" s="765">
        <v>13.9</v>
      </c>
      <c r="O18" s="764">
        <v>62.706000000000003</v>
      </c>
      <c r="P18" s="764">
        <v>220.10900000000001</v>
      </c>
      <c r="Q18" s="765">
        <v>16.22</v>
      </c>
      <c r="R18" s="764">
        <v>74.778000000000006</v>
      </c>
      <c r="S18" s="764">
        <v>136.70099999999999</v>
      </c>
      <c r="T18" s="765">
        <v>22.56</v>
      </c>
      <c r="U18" s="764">
        <v>89.826999999999998</v>
      </c>
      <c r="V18" s="764">
        <v>145.036</v>
      </c>
      <c r="W18" s="765">
        <v>17.899999999999999</v>
      </c>
      <c r="X18" s="764">
        <v>77.070999999999998</v>
      </c>
      <c r="Y18" s="764">
        <v>114.54</v>
      </c>
      <c r="Z18" s="765">
        <v>17.809999999999999</v>
      </c>
      <c r="AA18" s="764">
        <v>63.811999999999998</v>
      </c>
      <c r="AB18" s="764">
        <v>152.94</v>
      </c>
      <c r="AC18" s="765">
        <v>26.64</v>
      </c>
      <c r="AD18" s="764">
        <v>95.016999999999996</v>
      </c>
      <c r="AE18" s="764">
        <v>108.004</v>
      </c>
      <c r="AF18" s="765">
        <v>14.32</v>
      </c>
      <c r="AG18" s="764">
        <v>59.436999999999998</v>
      </c>
      <c r="AH18" s="764">
        <v>84.272000000000006</v>
      </c>
      <c r="AI18" s="766">
        <v>8.18</v>
      </c>
    </row>
    <row r="19" spans="2:35" ht="15" customHeight="1" x14ac:dyDescent="0.2">
      <c r="B19" s="763" t="s">
        <v>293</v>
      </c>
      <c r="C19" s="764">
        <v>6.26</v>
      </c>
      <c r="D19" s="764">
        <v>268.62799999999999</v>
      </c>
      <c r="E19" s="765">
        <v>16.62</v>
      </c>
      <c r="F19" s="764">
        <v>5.2220000000000004</v>
      </c>
      <c r="G19" s="764">
        <v>198.71100000000001</v>
      </c>
      <c r="H19" s="765">
        <v>11.38</v>
      </c>
      <c r="I19" s="764">
        <v>7.3289999999999997</v>
      </c>
      <c r="J19" s="764">
        <v>222.637</v>
      </c>
      <c r="K19" s="765">
        <v>13.71</v>
      </c>
      <c r="L19" s="764">
        <v>5.2220000000000004</v>
      </c>
      <c r="M19" s="764">
        <v>318.28699999999998</v>
      </c>
      <c r="N19" s="765">
        <v>14.55</v>
      </c>
      <c r="O19" s="764">
        <v>6.5110000000000001</v>
      </c>
      <c r="P19" s="764">
        <v>226.78299999999999</v>
      </c>
      <c r="Q19" s="765">
        <v>17.66</v>
      </c>
      <c r="R19" s="764">
        <v>18.823</v>
      </c>
      <c r="S19" s="764">
        <v>196.238</v>
      </c>
      <c r="T19" s="765">
        <v>22.79</v>
      </c>
      <c r="U19" s="764">
        <v>9.0670000000000002</v>
      </c>
      <c r="V19" s="764">
        <v>146.887</v>
      </c>
      <c r="W19" s="765">
        <v>21.18</v>
      </c>
      <c r="X19" s="764">
        <v>6.3719999999999999</v>
      </c>
      <c r="Y19" s="764">
        <v>122.51900000000001</v>
      </c>
      <c r="Z19" s="765">
        <v>25.35</v>
      </c>
      <c r="AA19" s="764">
        <v>8.7929999999999993</v>
      </c>
      <c r="AB19" s="764">
        <v>104.664</v>
      </c>
      <c r="AC19" s="765">
        <v>18.86</v>
      </c>
      <c r="AD19" s="764">
        <v>40.031999999999996</v>
      </c>
      <c r="AE19" s="764">
        <v>92.727999999999994</v>
      </c>
      <c r="AF19" s="765">
        <v>9.23</v>
      </c>
      <c r="AG19" s="764">
        <v>9.5969999999999995</v>
      </c>
      <c r="AH19" s="764">
        <v>105.907</v>
      </c>
      <c r="AI19" s="766">
        <v>15.1</v>
      </c>
    </row>
    <row r="20" spans="2:35" ht="15" customHeight="1" x14ac:dyDescent="0.2">
      <c r="B20" s="763" t="s">
        <v>294</v>
      </c>
      <c r="C20" s="764">
        <v>49.295000000000002</v>
      </c>
      <c r="D20" s="764">
        <v>352.09399999999999</v>
      </c>
      <c r="E20" s="765">
        <v>15.34</v>
      </c>
      <c r="F20" s="764">
        <v>62.314999999999998</v>
      </c>
      <c r="G20" s="764">
        <v>312.339</v>
      </c>
      <c r="H20" s="765">
        <v>13.78</v>
      </c>
      <c r="I20" s="764">
        <v>51.792000000000002</v>
      </c>
      <c r="J20" s="764">
        <v>247.75899999999999</v>
      </c>
      <c r="K20" s="765">
        <v>16.149999999999999</v>
      </c>
      <c r="L20" s="764">
        <v>62.314999999999998</v>
      </c>
      <c r="M20" s="764">
        <v>245.41300000000001</v>
      </c>
      <c r="N20" s="765">
        <v>12.48</v>
      </c>
      <c r="O20" s="764">
        <v>53.054000000000002</v>
      </c>
      <c r="P20" s="764">
        <v>187.584</v>
      </c>
      <c r="Q20" s="765">
        <v>13.34</v>
      </c>
      <c r="R20" s="764">
        <v>60.503999999999998</v>
      </c>
      <c r="S20" s="764">
        <v>155.52799999999999</v>
      </c>
      <c r="T20" s="765">
        <v>12.49</v>
      </c>
      <c r="U20" s="764">
        <v>62.692999999999998</v>
      </c>
      <c r="V20" s="764">
        <v>129.36000000000001</v>
      </c>
      <c r="W20" s="765">
        <v>21.25</v>
      </c>
      <c r="X20" s="764">
        <v>52.445999999999998</v>
      </c>
      <c r="Y20" s="764">
        <v>107.85599999999999</v>
      </c>
      <c r="Z20" s="765">
        <v>11.47</v>
      </c>
      <c r="AA20" s="764">
        <v>43.613</v>
      </c>
      <c r="AB20" s="764">
        <v>108.97</v>
      </c>
      <c r="AC20" s="765">
        <v>7.94</v>
      </c>
      <c r="AD20" s="764">
        <v>43.976999999999997</v>
      </c>
      <c r="AE20" s="764">
        <v>136.33500000000001</v>
      </c>
      <c r="AF20" s="765">
        <v>11.08</v>
      </c>
      <c r="AG20" s="764">
        <v>60.320999999999998</v>
      </c>
      <c r="AH20" s="764">
        <v>106.096</v>
      </c>
      <c r="AI20" s="766">
        <v>6.67</v>
      </c>
    </row>
    <row r="21" spans="2:35" ht="15" customHeight="1" x14ac:dyDescent="0.2">
      <c r="B21" s="763" t="s">
        <v>295</v>
      </c>
      <c r="C21" s="764">
        <v>119.86199999999999</v>
      </c>
      <c r="D21" s="764">
        <v>467.99599999999998</v>
      </c>
      <c r="E21" s="765">
        <v>15.18</v>
      </c>
      <c r="F21" s="764">
        <v>143.47499999999999</v>
      </c>
      <c r="G21" s="764">
        <v>420.09199999999998</v>
      </c>
      <c r="H21" s="765">
        <v>14.44</v>
      </c>
      <c r="I21" s="764">
        <v>145.24</v>
      </c>
      <c r="J21" s="764">
        <v>370.84199999999998</v>
      </c>
      <c r="K21" s="765">
        <v>17.559999999999999</v>
      </c>
      <c r="L21" s="764">
        <v>143.47499999999999</v>
      </c>
      <c r="M21" s="764">
        <v>286.964</v>
      </c>
      <c r="N21" s="765">
        <v>14.65</v>
      </c>
      <c r="O21" s="764">
        <v>128.51900000000001</v>
      </c>
      <c r="P21" s="764">
        <v>446.91</v>
      </c>
      <c r="Q21" s="765">
        <v>17.71</v>
      </c>
      <c r="R21" s="764">
        <v>131.70500000000001</v>
      </c>
      <c r="S21" s="764">
        <v>221.53100000000001</v>
      </c>
      <c r="T21" s="765">
        <v>21.03</v>
      </c>
      <c r="U21" s="764">
        <v>120.569</v>
      </c>
      <c r="V21" s="764">
        <v>162.16200000000001</v>
      </c>
      <c r="W21" s="765">
        <v>18.11</v>
      </c>
      <c r="X21" s="764">
        <v>117.768</v>
      </c>
      <c r="Y21" s="764">
        <v>200.52600000000001</v>
      </c>
      <c r="Z21" s="765">
        <v>18.66</v>
      </c>
      <c r="AA21" s="764">
        <v>98.951999999999998</v>
      </c>
      <c r="AB21" s="764">
        <v>140.03</v>
      </c>
      <c r="AC21" s="765">
        <v>17.54</v>
      </c>
      <c r="AD21" s="764">
        <v>101.836</v>
      </c>
      <c r="AE21" s="764">
        <v>150.005</v>
      </c>
      <c r="AF21" s="765">
        <v>12.77</v>
      </c>
      <c r="AG21" s="764">
        <v>95.403999999999996</v>
      </c>
      <c r="AH21" s="764">
        <v>467.99599999999998</v>
      </c>
      <c r="AI21" s="766">
        <v>15.18</v>
      </c>
    </row>
    <row r="22" spans="2:35" ht="15" customHeight="1" x14ac:dyDescent="0.2">
      <c r="B22" s="767" t="s">
        <v>296</v>
      </c>
      <c r="C22" s="768">
        <v>100.446</v>
      </c>
      <c r="D22" s="768">
        <v>273.24700000000001</v>
      </c>
      <c r="E22" s="769">
        <v>10.98</v>
      </c>
      <c r="F22" s="768">
        <v>99.02</v>
      </c>
      <c r="G22" s="768">
        <v>322.80900000000003</v>
      </c>
      <c r="H22" s="769">
        <v>15.41</v>
      </c>
      <c r="I22" s="768">
        <v>116.056</v>
      </c>
      <c r="J22" s="768">
        <v>297.791</v>
      </c>
      <c r="K22" s="769">
        <v>11.33</v>
      </c>
      <c r="L22" s="768">
        <v>99.02</v>
      </c>
      <c r="M22" s="768">
        <v>329.38299999999998</v>
      </c>
      <c r="N22" s="769">
        <v>17.11</v>
      </c>
      <c r="O22" s="768">
        <v>111.05200000000001</v>
      </c>
      <c r="P22" s="768">
        <v>219.03200000000001</v>
      </c>
      <c r="Q22" s="769">
        <v>13.09</v>
      </c>
      <c r="R22" s="768">
        <v>93.95</v>
      </c>
      <c r="S22" s="768">
        <v>201.93100000000001</v>
      </c>
      <c r="T22" s="769">
        <v>15.73</v>
      </c>
      <c r="U22" s="768">
        <v>80.665999999999997</v>
      </c>
      <c r="V22" s="768">
        <v>170.36799999999999</v>
      </c>
      <c r="W22" s="769">
        <v>14</v>
      </c>
      <c r="X22" s="768">
        <v>90.037999999999997</v>
      </c>
      <c r="Y22" s="768">
        <v>171.24199999999999</v>
      </c>
      <c r="Z22" s="769">
        <v>13.4</v>
      </c>
      <c r="AA22" s="768">
        <v>66.185000000000002</v>
      </c>
      <c r="AB22" s="768">
        <v>142.273</v>
      </c>
      <c r="AC22" s="769">
        <v>9.18</v>
      </c>
      <c r="AD22" s="768">
        <v>208.17400000000001</v>
      </c>
      <c r="AE22" s="768">
        <v>158.34700000000001</v>
      </c>
      <c r="AF22" s="769">
        <v>10.81</v>
      </c>
      <c r="AG22" s="768">
        <v>75.813999999999993</v>
      </c>
      <c r="AH22" s="768">
        <v>158.708</v>
      </c>
      <c r="AI22" s="770">
        <v>12.84</v>
      </c>
    </row>
    <row r="25" spans="2:35" ht="15" customHeight="1" x14ac:dyDescent="0.2">
      <c r="B25" s="1109" t="s">
        <v>380</v>
      </c>
      <c r="C25" s="1089" t="s">
        <v>332</v>
      </c>
      <c r="D25" s="1089"/>
      <c r="E25" s="1089"/>
      <c r="F25" s="1089" t="s">
        <v>222</v>
      </c>
      <c r="G25" s="1089"/>
      <c r="H25" s="1018"/>
    </row>
    <row r="26" spans="2:35" ht="15" customHeight="1" x14ac:dyDescent="0.2">
      <c r="B26" s="1110"/>
      <c r="C26" s="732" t="s">
        <v>78</v>
      </c>
      <c r="D26" s="1091" t="s">
        <v>79</v>
      </c>
      <c r="E26" s="1091"/>
      <c r="F26" s="732" t="s">
        <v>78</v>
      </c>
      <c r="G26" s="1091" t="s">
        <v>79</v>
      </c>
      <c r="H26" s="1013"/>
    </row>
    <row r="27" spans="2:35" ht="30" customHeight="1" x14ac:dyDescent="0.2">
      <c r="B27" s="1110"/>
      <c r="C27" s="1090" t="s">
        <v>326</v>
      </c>
      <c r="D27" s="1090"/>
      <c r="E27" s="130" t="s">
        <v>82</v>
      </c>
      <c r="F27" s="1090" t="s">
        <v>326</v>
      </c>
      <c r="G27" s="1090"/>
      <c r="H27" s="131" t="s">
        <v>82</v>
      </c>
    </row>
    <row r="28" spans="2:35" ht="15" customHeight="1" x14ac:dyDescent="0.2">
      <c r="B28" s="759" t="str">
        <f>Index!$B$4</f>
        <v>England</v>
      </c>
      <c r="C28" s="760">
        <v>1357.6379999999999</v>
      </c>
      <c r="D28" s="760">
        <v>2957.9369999999999</v>
      </c>
      <c r="E28" s="761">
        <v>4.9175326735365372</v>
      </c>
      <c r="F28" s="760">
        <v>1146.115</v>
      </c>
      <c r="G28" s="760">
        <v>3264.904</v>
      </c>
      <c r="H28" s="762">
        <v>4.7723267050589984</v>
      </c>
    </row>
    <row r="29" spans="2:35" ht="15" customHeight="1" x14ac:dyDescent="0.2">
      <c r="B29" s="763" t="s">
        <v>313</v>
      </c>
      <c r="C29" s="764">
        <v>169.035</v>
      </c>
      <c r="D29" s="764">
        <v>238.006</v>
      </c>
      <c r="E29" s="765">
        <v>18.350000000000001</v>
      </c>
      <c r="F29" s="764">
        <v>145.471</v>
      </c>
      <c r="G29" s="764">
        <v>258.863</v>
      </c>
      <c r="H29" s="766">
        <v>16.739999999999998</v>
      </c>
    </row>
    <row r="30" spans="2:35" ht="15" customHeight="1" x14ac:dyDescent="0.2">
      <c r="B30" s="763" t="s">
        <v>325</v>
      </c>
      <c r="C30" s="764">
        <v>75.849000000000004</v>
      </c>
      <c r="D30" s="764">
        <v>330.42700000000002</v>
      </c>
      <c r="E30" s="765">
        <v>17.149999999999999</v>
      </c>
      <c r="F30" s="764">
        <v>92.063000000000002</v>
      </c>
      <c r="G30" s="764">
        <v>520.34100000000001</v>
      </c>
      <c r="H30" s="766">
        <v>15.88</v>
      </c>
    </row>
    <row r="31" spans="2:35" ht="15" customHeight="1" x14ac:dyDescent="0.2">
      <c r="B31" s="763" t="s">
        <v>319</v>
      </c>
      <c r="C31" s="764">
        <v>168.267</v>
      </c>
      <c r="D31" s="764">
        <v>166.202</v>
      </c>
      <c r="E31" s="765">
        <v>11.7</v>
      </c>
      <c r="F31" s="764">
        <v>163.97300000000001</v>
      </c>
      <c r="G31" s="764">
        <v>201.37</v>
      </c>
      <c r="H31" s="766">
        <v>13.18</v>
      </c>
    </row>
    <row r="32" spans="2:35" ht="15" customHeight="1" x14ac:dyDescent="0.2">
      <c r="B32" s="763" t="s">
        <v>317</v>
      </c>
      <c r="C32" s="764">
        <v>47.417000000000002</v>
      </c>
      <c r="D32" s="764">
        <v>80.561999999999998</v>
      </c>
      <c r="E32" s="765">
        <v>17.87</v>
      </c>
      <c r="F32" s="764">
        <v>38.831000000000003</v>
      </c>
      <c r="G32" s="764">
        <v>104.88500000000001</v>
      </c>
      <c r="H32" s="766">
        <v>22.05</v>
      </c>
    </row>
    <row r="33" spans="2:8" ht="15" customHeight="1" x14ac:dyDescent="0.2">
      <c r="B33" s="763" t="s">
        <v>315</v>
      </c>
      <c r="C33" s="764">
        <v>2.827</v>
      </c>
      <c r="D33" s="764">
        <v>22.687000000000001</v>
      </c>
      <c r="E33" s="765">
        <v>29.86</v>
      </c>
      <c r="F33" s="764">
        <v>4.5709999999999997</v>
      </c>
      <c r="G33" s="764">
        <v>47.752000000000002</v>
      </c>
      <c r="H33" s="766">
        <v>29.88</v>
      </c>
    </row>
    <row r="34" spans="2:8" ht="15" customHeight="1" x14ac:dyDescent="0.2">
      <c r="B34" s="763" t="s">
        <v>320</v>
      </c>
      <c r="C34" s="764">
        <v>0.47899999999999998</v>
      </c>
      <c r="D34" s="764">
        <v>27.053000000000001</v>
      </c>
      <c r="E34" s="765">
        <v>17.91</v>
      </c>
      <c r="F34" s="764">
        <v>1.6120000000000001</v>
      </c>
      <c r="G34" s="764">
        <v>62.036000000000001</v>
      </c>
      <c r="H34" s="766">
        <v>21.65</v>
      </c>
    </row>
    <row r="35" spans="2:8" ht="15" customHeight="1" x14ac:dyDescent="0.2">
      <c r="B35" s="763" t="s">
        <v>321</v>
      </c>
      <c r="C35" s="764">
        <v>13.311999999999999</v>
      </c>
      <c r="D35" s="764">
        <v>160.82599999999999</v>
      </c>
      <c r="E35" s="765">
        <v>16.54</v>
      </c>
      <c r="F35" s="764">
        <v>18.491</v>
      </c>
      <c r="G35" s="764">
        <v>139.34299999999999</v>
      </c>
      <c r="H35" s="766">
        <v>15.82</v>
      </c>
    </row>
    <row r="36" spans="2:8" ht="15" customHeight="1" x14ac:dyDescent="0.2">
      <c r="B36" s="763" t="s">
        <v>318</v>
      </c>
      <c r="C36" s="764">
        <v>27.157</v>
      </c>
      <c r="D36" s="764">
        <v>67.429000000000002</v>
      </c>
      <c r="E36" s="765">
        <v>18.55</v>
      </c>
      <c r="F36" s="764">
        <v>25.933</v>
      </c>
      <c r="G36" s="764">
        <v>57.585000000000001</v>
      </c>
      <c r="H36" s="766">
        <v>18.010000000000002</v>
      </c>
    </row>
    <row r="37" spans="2:8" ht="15" customHeight="1" x14ac:dyDescent="0.2">
      <c r="B37" s="763" t="s">
        <v>312</v>
      </c>
      <c r="C37" s="764">
        <v>531.601</v>
      </c>
      <c r="D37" s="764">
        <v>287.02800000000002</v>
      </c>
      <c r="E37" s="765">
        <v>18.52</v>
      </c>
      <c r="F37" s="764">
        <v>284.392</v>
      </c>
      <c r="G37" s="764">
        <v>374.25299999999999</v>
      </c>
      <c r="H37" s="766">
        <v>17.09</v>
      </c>
    </row>
    <row r="38" spans="2:8" ht="15" customHeight="1" x14ac:dyDescent="0.2">
      <c r="B38" s="763" t="s">
        <v>322</v>
      </c>
      <c r="C38" s="764">
        <v>45.831000000000003</v>
      </c>
      <c r="D38" s="764">
        <v>215.75200000000001</v>
      </c>
      <c r="E38" s="765">
        <v>13.41</v>
      </c>
      <c r="F38" s="764">
        <v>60.746000000000002</v>
      </c>
      <c r="G38" s="764">
        <v>244.52500000000001</v>
      </c>
      <c r="H38" s="766">
        <v>11.17</v>
      </c>
    </row>
    <row r="39" spans="2:8" ht="15" customHeight="1" x14ac:dyDescent="0.2">
      <c r="B39" s="763" t="s">
        <v>323</v>
      </c>
      <c r="C39" s="764">
        <v>6.26</v>
      </c>
      <c r="D39" s="764">
        <v>268.62799999999999</v>
      </c>
      <c r="E39" s="765">
        <v>16.62</v>
      </c>
      <c r="F39" s="764">
        <v>5.2220000000000004</v>
      </c>
      <c r="G39" s="764">
        <v>198.71100000000001</v>
      </c>
      <c r="H39" s="766">
        <v>11.38</v>
      </c>
    </row>
    <row r="40" spans="2:8" ht="15" customHeight="1" x14ac:dyDescent="0.2">
      <c r="B40" s="763" t="s">
        <v>324</v>
      </c>
      <c r="C40" s="764">
        <v>49.295000000000002</v>
      </c>
      <c r="D40" s="764">
        <v>352.09399999999999</v>
      </c>
      <c r="E40" s="765">
        <v>15.34</v>
      </c>
      <c r="F40" s="764">
        <v>62.314999999999998</v>
      </c>
      <c r="G40" s="764">
        <v>312.339</v>
      </c>
      <c r="H40" s="766">
        <v>13.78</v>
      </c>
    </row>
    <row r="41" spans="2:8" ht="15" customHeight="1" x14ac:dyDescent="0.2">
      <c r="B41" s="763" t="s">
        <v>316</v>
      </c>
      <c r="C41" s="764">
        <v>119.86199999999999</v>
      </c>
      <c r="D41" s="764">
        <v>467.99599999999998</v>
      </c>
      <c r="E41" s="765">
        <v>15.18</v>
      </c>
      <c r="F41" s="764">
        <v>143.47499999999999</v>
      </c>
      <c r="G41" s="764">
        <v>420.09199999999998</v>
      </c>
      <c r="H41" s="766">
        <v>14.44</v>
      </c>
    </row>
    <row r="42" spans="2:8" ht="15" customHeight="1" x14ac:dyDescent="0.2">
      <c r="B42" s="767" t="s">
        <v>314</v>
      </c>
      <c r="C42" s="768">
        <v>100.446</v>
      </c>
      <c r="D42" s="768">
        <v>273.24700000000001</v>
      </c>
      <c r="E42" s="769">
        <v>10.98</v>
      </c>
      <c r="F42" s="768">
        <v>99.02</v>
      </c>
      <c r="G42" s="768">
        <v>322.80900000000003</v>
      </c>
      <c r="H42" s="770">
        <v>15.41</v>
      </c>
    </row>
    <row r="45" spans="2:8" ht="15" customHeight="1" x14ac:dyDescent="0.2">
      <c r="B45" s="1109" t="s">
        <v>380</v>
      </c>
      <c r="C45" s="1089" t="s">
        <v>225</v>
      </c>
      <c r="D45" s="1089"/>
      <c r="E45" s="1089"/>
      <c r="F45" s="1089" t="s">
        <v>226</v>
      </c>
      <c r="G45" s="1089"/>
      <c r="H45" s="1018"/>
    </row>
    <row r="46" spans="2:8" ht="15" customHeight="1" x14ac:dyDescent="0.2">
      <c r="B46" s="1110"/>
      <c r="C46" s="732" t="s">
        <v>78</v>
      </c>
      <c r="D46" s="1091" t="s">
        <v>79</v>
      </c>
      <c r="E46" s="1091"/>
      <c r="F46" s="732" t="s">
        <v>78</v>
      </c>
      <c r="G46" s="1091" t="s">
        <v>79</v>
      </c>
      <c r="H46" s="1013"/>
    </row>
    <row r="47" spans="2:8" ht="30" customHeight="1" x14ac:dyDescent="0.2">
      <c r="B47" s="1110"/>
      <c r="C47" s="1090" t="s">
        <v>326</v>
      </c>
      <c r="D47" s="1090"/>
      <c r="E47" s="130" t="s">
        <v>82</v>
      </c>
      <c r="F47" s="1090" t="s">
        <v>326</v>
      </c>
      <c r="G47" s="1090"/>
      <c r="H47" s="131" t="s">
        <v>82</v>
      </c>
    </row>
    <row r="48" spans="2:8" ht="15" customHeight="1" x14ac:dyDescent="0.2">
      <c r="B48" s="759" t="str">
        <f>Index!$B$4</f>
        <v>England</v>
      </c>
      <c r="C48" s="760">
        <v>1122.9359999999999</v>
      </c>
      <c r="D48" s="760">
        <v>2956.4490000000001</v>
      </c>
      <c r="E48" s="761">
        <v>5.0877422572868625</v>
      </c>
      <c r="F48" s="760">
        <v>1146.115</v>
      </c>
      <c r="G48" s="760">
        <v>3052.6990000000001</v>
      </c>
      <c r="H48" s="762">
        <v>5.1812754658331821</v>
      </c>
    </row>
    <row r="49" spans="2:8" ht="15" customHeight="1" x14ac:dyDescent="0.2">
      <c r="B49" s="763" t="s">
        <v>313</v>
      </c>
      <c r="C49" s="764">
        <v>143.113</v>
      </c>
      <c r="D49" s="764">
        <v>420.42200000000003</v>
      </c>
      <c r="E49" s="765">
        <v>18.03</v>
      </c>
      <c r="F49" s="764">
        <v>145.471</v>
      </c>
      <c r="G49" s="764">
        <v>350.44</v>
      </c>
      <c r="H49" s="766">
        <v>15.81</v>
      </c>
    </row>
    <row r="50" spans="2:8" ht="15" customHeight="1" x14ac:dyDescent="0.2">
      <c r="B50" s="763" t="s">
        <v>325</v>
      </c>
      <c r="C50" s="764">
        <v>72.724000000000004</v>
      </c>
      <c r="D50" s="764">
        <v>232.18</v>
      </c>
      <c r="E50" s="765">
        <v>11.5</v>
      </c>
      <c r="F50" s="764">
        <v>92.063000000000002</v>
      </c>
      <c r="G50" s="764">
        <v>212.33600000000001</v>
      </c>
      <c r="H50" s="766">
        <v>14.74</v>
      </c>
    </row>
    <row r="51" spans="2:8" ht="15" customHeight="1" x14ac:dyDescent="0.2">
      <c r="B51" s="763" t="s">
        <v>319</v>
      </c>
      <c r="C51" s="764">
        <v>142.75700000000001</v>
      </c>
      <c r="D51" s="764">
        <v>164.31299999999999</v>
      </c>
      <c r="E51" s="765">
        <v>17.68</v>
      </c>
      <c r="F51" s="764">
        <v>163.97300000000001</v>
      </c>
      <c r="G51" s="764">
        <v>251.798</v>
      </c>
      <c r="H51" s="766">
        <v>18.3</v>
      </c>
    </row>
    <row r="52" spans="2:8" ht="15" customHeight="1" x14ac:dyDescent="0.2">
      <c r="B52" s="763" t="s">
        <v>317</v>
      </c>
      <c r="C52" s="764">
        <v>45.317</v>
      </c>
      <c r="D52" s="764">
        <v>134.94200000000001</v>
      </c>
      <c r="E52" s="765">
        <v>29.77</v>
      </c>
      <c r="F52" s="764">
        <v>38.831000000000003</v>
      </c>
      <c r="G52" s="764">
        <v>136.261</v>
      </c>
      <c r="H52" s="766">
        <v>22.44</v>
      </c>
    </row>
    <row r="53" spans="2:8" ht="15" customHeight="1" x14ac:dyDescent="0.2">
      <c r="B53" s="763" t="s">
        <v>315</v>
      </c>
      <c r="C53" s="764">
        <v>6.3460000000000001</v>
      </c>
      <c r="D53" s="764">
        <v>23.611000000000001</v>
      </c>
      <c r="E53" s="765">
        <v>27.54</v>
      </c>
      <c r="F53" s="764">
        <v>4.5709999999999997</v>
      </c>
      <c r="G53" s="764">
        <v>29.257999999999999</v>
      </c>
      <c r="H53" s="766">
        <v>30.38</v>
      </c>
    </row>
    <row r="54" spans="2:8" ht="15" customHeight="1" x14ac:dyDescent="0.2">
      <c r="B54" s="763" t="s">
        <v>320</v>
      </c>
      <c r="C54" s="764">
        <v>0.48699999999999999</v>
      </c>
      <c r="D54" s="764">
        <v>48.756999999999998</v>
      </c>
      <c r="E54" s="765">
        <v>30.01</v>
      </c>
      <c r="F54" s="764">
        <v>1.6120000000000001</v>
      </c>
      <c r="G54" s="764">
        <v>21.864000000000001</v>
      </c>
      <c r="H54" s="766">
        <v>23.89</v>
      </c>
    </row>
    <row r="55" spans="2:8" ht="15" customHeight="1" x14ac:dyDescent="0.2">
      <c r="B55" s="763" t="s">
        <v>321</v>
      </c>
      <c r="C55" s="764">
        <v>13.680999999999999</v>
      </c>
      <c r="D55" s="764">
        <v>172.786</v>
      </c>
      <c r="E55" s="765">
        <v>18.29</v>
      </c>
      <c r="F55" s="764">
        <v>18.491</v>
      </c>
      <c r="G55" s="764">
        <v>93.953999999999994</v>
      </c>
      <c r="H55" s="766">
        <v>22.78</v>
      </c>
    </row>
    <row r="56" spans="2:8" ht="15" customHeight="1" x14ac:dyDescent="0.2">
      <c r="B56" s="763" t="s">
        <v>318</v>
      </c>
      <c r="C56" s="764">
        <v>21.478999999999999</v>
      </c>
      <c r="D56" s="764">
        <v>42.152000000000001</v>
      </c>
      <c r="E56" s="765">
        <v>15.32</v>
      </c>
      <c r="F56" s="764">
        <v>25.933</v>
      </c>
      <c r="G56" s="764">
        <v>70.442999999999998</v>
      </c>
      <c r="H56" s="766">
        <v>19.45</v>
      </c>
    </row>
    <row r="57" spans="2:8" ht="15" customHeight="1" x14ac:dyDescent="0.2">
      <c r="B57" s="763" t="s">
        <v>312</v>
      </c>
      <c r="C57" s="764">
        <v>306.07900000000001</v>
      </c>
      <c r="D57" s="764">
        <v>370.53500000000003</v>
      </c>
      <c r="E57" s="765">
        <v>16.57</v>
      </c>
      <c r="F57" s="764">
        <v>284.392</v>
      </c>
      <c r="G57" s="764">
        <v>488.64299999999997</v>
      </c>
      <c r="H57" s="766">
        <v>18.55</v>
      </c>
    </row>
    <row r="58" spans="2:8" ht="15" customHeight="1" x14ac:dyDescent="0.2">
      <c r="B58" s="763" t="s">
        <v>322</v>
      </c>
      <c r="C58" s="764">
        <v>50.536000000000001</v>
      </c>
      <c r="D58" s="764">
        <v>207.72200000000001</v>
      </c>
      <c r="E58" s="765">
        <v>13.01</v>
      </c>
      <c r="F58" s="764">
        <v>60.746000000000002</v>
      </c>
      <c r="G58" s="764">
        <v>217.655</v>
      </c>
      <c r="H58" s="766">
        <v>13.9</v>
      </c>
    </row>
    <row r="59" spans="2:8" ht="15" customHeight="1" x14ac:dyDescent="0.2">
      <c r="B59" s="763" t="s">
        <v>323</v>
      </c>
      <c r="C59" s="764">
        <v>7.3289999999999997</v>
      </c>
      <c r="D59" s="764">
        <v>222.637</v>
      </c>
      <c r="E59" s="765">
        <v>13.71</v>
      </c>
      <c r="F59" s="764">
        <v>5.2220000000000004</v>
      </c>
      <c r="G59" s="764">
        <v>318.28699999999998</v>
      </c>
      <c r="H59" s="766">
        <v>14.55</v>
      </c>
    </row>
    <row r="60" spans="2:8" ht="15" customHeight="1" x14ac:dyDescent="0.2">
      <c r="B60" s="763" t="s">
        <v>324</v>
      </c>
      <c r="C60" s="764">
        <v>51.792000000000002</v>
      </c>
      <c r="D60" s="764">
        <v>247.75899999999999</v>
      </c>
      <c r="E60" s="765">
        <v>16.149999999999999</v>
      </c>
      <c r="F60" s="764">
        <v>62.314999999999998</v>
      </c>
      <c r="G60" s="764">
        <v>245.41300000000001</v>
      </c>
      <c r="H60" s="766">
        <v>12.48</v>
      </c>
    </row>
    <row r="61" spans="2:8" ht="15" customHeight="1" x14ac:dyDescent="0.2">
      <c r="B61" s="763" t="s">
        <v>316</v>
      </c>
      <c r="C61" s="764">
        <v>145.24</v>
      </c>
      <c r="D61" s="764">
        <v>370.84199999999998</v>
      </c>
      <c r="E61" s="765">
        <v>17.559999999999999</v>
      </c>
      <c r="F61" s="764">
        <v>143.47499999999999</v>
      </c>
      <c r="G61" s="764">
        <v>286.964</v>
      </c>
      <c r="H61" s="766">
        <v>14.65</v>
      </c>
    </row>
    <row r="62" spans="2:8" ht="15" customHeight="1" x14ac:dyDescent="0.2">
      <c r="B62" s="767" t="s">
        <v>314</v>
      </c>
      <c r="C62" s="768">
        <v>116.056</v>
      </c>
      <c r="D62" s="768">
        <v>297.791</v>
      </c>
      <c r="E62" s="769">
        <v>11.33</v>
      </c>
      <c r="F62" s="768">
        <v>99.02</v>
      </c>
      <c r="G62" s="768">
        <v>329.38299999999998</v>
      </c>
      <c r="H62" s="770">
        <v>17.11</v>
      </c>
    </row>
    <row r="65" spans="2:8" ht="15" customHeight="1" x14ac:dyDescent="0.2">
      <c r="B65" s="1109" t="s">
        <v>380</v>
      </c>
      <c r="C65" s="1089" t="s">
        <v>227</v>
      </c>
      <c r="D65" s="1089"/>
      <c r="E65" s="1089"/>
      <c r="F65" s="1089" t="s">
        <v>228</v>
      </c>
      <c r="G65" s="1089"/>
      <c r="H65" s="1018"/>
    </row>
    <row r="66" spans="2:8" ht="15" customHeight="1" x14ac:dyDescent="0.2">
      <c r="B66" s="1110"/>
      <c r="C66" s="732" t="s">
        <v>78</v>
      </c>
      <c r="D66" s="1091" t="s">
        <v>79</v>
      </c>
      <c r="E66" s="1091"/>
      <c r="F66" s="732" t="s">
        <v>78</v>
      </c>
      <c r="G66" s="1091" t="s">
        <v>79</v>
      </c>
      <c r="H66" s="1013"/>
    </row>
    <row r="67" spans="2:8" ht="30" customHeight="1" x14ac:dyDescent="0.2">
      <c r="B67" s="1110"/>
      <c r="C67" s="1090" t="s">
        <v>326</v>
      </c>
      <c r="D67" s="1090"/>
      <c r="E67" s="130" t="s">
        <v>82</v>
      </c>
      <c r="F67" s="1090" t="s">
        <v>326</v>
      </c>
      <c r="G67" s="1090"/>
      <c r="H67" s="131" t="s">
        <v>82</v>
      </c>
    </row>
    <row r="68" spans="2:8" ht="15" customHeight="1" x14ac:dyDescent="0.2">
      <c r="B68" s="759" t="str">
        <f>Index!$B$4</f>
        <v>England</v>
      </c>
      <c r="C68" s="760">
        <v>1094.79</v>
      </c>
      <c r="D68" s="760">
        <v>2910.4050000000002</v>
      </c>
      <c r="E68" s="761">
        <v>5.8810833804531484</v>
      </c>
      <c r="F68" s="760">
        <v>1100.3589999999999</v>
      </c>
      <c r="G68" s="760">
        <v>2272.7440000000001</v>
      </c>
      <c r="H68" s="762">
        <v>6.3794291254089313</v>
      </c>
    </row>
    <row r="69" spans="2:8" ht="15" customHeight="1" x14ac:dyDescent="0.2">
      <c r="B69" s="763" t="s">
        <v>313</v>
      </c>
      <c r="C69" s="764">
        <v>109.753</v>
      </c>
      <c r="D69" s="764">
        <v>257.19099999999997</v>
      </c>
      <c r="E69" s="765">
        <v>19.52</v>
      </c>
      <c r="F69" s="764">
        <v>130.58199999999999</v>
      </c>
      <c r="G69" s="764">
        <v>166.393</v>
      </c>
      <c r="H69" s="766">
        <v>14.57</v>
      </c>
    </row>
    <row r="70" spans="2:8" ht="15" customHeight="1" x14ac:dyDescent="0.2">
      <c r="B70" s="763" t="s">
        <v>325</v>
      </c>
      <c r="C70" s="764">
        <v>76.516999999999996</v>
      </c>
      <c r="D70" s="764">
        <v>227.797</v>
      </c>
      <c r="E70" s="765">
        <v>14.85</v>
      </c>
      <c r="F70" s="764">
        <v>89.004999999999995</v>
      </c>
      <c r="G70" s="764">
        <v>166.84</v>
      </c>
      <c r="H70" s="766">
        <v>21.27</v>
      </c>
    </row>
    <row r="71" spans="2:8" ht="15" customHeight="1" x14ac:dyDescent="0.2">
      <c r="B71" s="763" t="s">
        <v>319</v>
      </c>
      <c r="C71" s="764">
        <v>163.97300000000001</v>
      </c>
      <c r="D71" s="764">
        <v>269.90499999999997</v>
      </c>
      <c r="E71" s="765">
        <v>16.97</v>
      </c>
      <c r="F71" s="764">
        <v>169.017</v>
      </c>
      <c r="G71" s="764">
        <v>213.79300000000001</v>
      </c>
      <c r="H71" s="766">
        <v>19.66</v>
      </c>
    </row>
    <row r="72" spans="2:8" ht="15" customHeight="1" x14ac:dyDescent="0.2">
      <c r="B72" s="763" t="s">
        <v>317</v>
      </c>
      <c r="C72" s="764">
        <v>47.055999999999997</v>
      </c>
      <c r="D72" s="764">
        <v>63.215000000000003</v>
      </c>
      <c r="E72" s="765">
        <v>20.62</v>
      </c>
      <c r="F72" s="764">
        <v>33.167999999999999</v>
      </c>
      <c r="G72" s="764">
        <v>80.111000000000004</v>
      </c>
      <c r="H72" s="766">
        <v>39.979999999999997</v>
      </c>
    </row>
    <row r="73" spans="2:8" ht="15" customHeight="1" x14ac:dyDescent="0.2">
      <c r="B73" s="763" t="s">
        <v>315</v>
      </c>
      <c r="C73" s="764">
        <v>5.9619999999999997</v>
      </c>
      <c r="D73" s="764">
        <v>28.265000000000001</v>
      </c>
      <c r="E73" s="765">
        <v>42.71</v>
      </c>
      <c r="F73" s="764">
        <v>5.3179999999999996</v>
      </c>
      <c r="G73" s="764">
        <v>19.815999999999999</v>
      </c>
      <c r="H73" s="766">
        <v>32.51</v>
      </c>
    </row>
    <row r="74" spans="2:8" ht="15" customHeight="1" x14ac:dyDescent="0.2">
      <c r="B74" s="763" t="s">
        <v>320</v>
      </c>
      <c r="C74" s="764">
        <v>2.3420000000000001</v>
      </c>
      <c r="D74" s="764">
        <v>52.98</v>
      </c>
      <c r="E74" s="765">
        <v>58.36</v>
      </c>
      <c r="F74" s="764">
        <v>8.0280000000000005</v>
      </c>
      <c r="G74" s="764">
        <v>58.429000000000002</v>
      </c>
      <c r="H74" s="766">
        <v>33.86</v>
      </c>
    </row>
    <row r="75" spans="2:8" ht="15" customHeight="1" x14ac:dyDescent="0.2">
      <c r="B75" s="763" t="s">
        <v>321</v>
      </c>
      <c r="C75" s="764">
        <v>19.349</v>
      </c>
      <c r="D75" s="764">
        <v>86.736999999999995</v>
      </c>
      <c r="E75" s="765">
        <v>25.34</v>
      </c>
      <c r="F75" s="764">
        <v>25.274999999999999</v>
      </c>
      <c r="G75" s="764">
        <v>116.59699999999999</v>
      </c>
      <c r="H75" s="766">
        <v>22.62</v>
      </c>
    </row>
    <row r="76" spans="2:8" ht="15" customHeight="1" x14ac:dyDescent="0.2">
      <c r="B76" s="763" t="s">
        <v>318</v>
      </c>
      <c r="C76" s="764">
        <v>23.922000000000001</v>
      </c>
      <c r="D76" s="764">
        <v>80.106999999999999</v>
      </c>
      <c r="E76" s="765">
        <v>22.38</v>
      </c>
      <c r="F76" s="764">
        <v>20.381</v>
      </c>
      <c r="G76" s="764">
        <v>47.362000000000002</v>
      </c>
      <c r="H76" s="766">
        <v>24.58</v>
      </c>
    </row>
    <row r="77" spans="2:8" ht="15" customHeight="1" x14ac:dyDescent="0.2">
      <c r="B77" s="763" t="s">
        <v>312</v>
      </c>
      <c r="C77" s="764">
        <v>284.07400000000001</v>
      </c>
      <c r="D77" s="764">
        <v>543.79</v>
      </c>
      <c r="E77" s="765">
        <v>19.170000000000002</v>
      </c>
      <c r="F77" s="764">
        <v>239.82499999999999</v>
      </c>
      <c r="G77" s="764">
        <v>491.47399999999999</v>
      </c>
      <c r="H77" s="766">
        <v>18.88</v>
      </c>
    </row>
    <row r="78" spans="2:8" ht="15" customHeight="1" x14ac:dyDescent="0.2">
      <c r="B78" s="763" t="s">
        <v>322</v>
      </c>
      <c r="C78" s="764">
        <v>62.706000000000003</v>
      </c>
      <c r="D78" s="764">
        <v>220.10900000000001</v>
      </c>
      <c r="E78" s="765">
        <v>16.22</v>
      </c>
      <c r="F78" s="764">
        <v>74.778000000000006</v>
      </c>
      <c r="G78" s="764">
        <v>136.70099999999999</v>
      </c>
      <c r="H78" s="766">
        <v>22.56</v>
      </c>
    </row>
    <row r="79" spans="2:8" ht="15" customHeight="1" x14ac:dyDescent="0.2">
      <c r="B79" s="763" t="s">
        <v>323</v>
      </c>
      <c r="C79" s="764">
        <v>6.5110000000000001</v>
      </c>
      <c r="D79" s="764">
        <v>226.78299999999999</v>
      </c>
      <c r="E79" s="765">
        <v>17.66</v>
      </c>
      <c r="F79" s="764">
        <v>18.823</v>
      </c>
      <c r="G79" s="764">
        <v>196.238</v>
      </c>
      <c r="H79" s="766">
        <v>22.79</v>
      </c>
    </row>
    <row r="80" spans="2:8" ht="15" customHeight="1" x14ac:dyDescent="0.2">
      <c r="B80" s="763" t="s">
        <v>324</v>
      </c>
      <c r="C80" s="764">
        <v>53.054000000000002</v>
      </c>
      <c r="D80" s="764">
        <v>187.584</v>
      </c>
      <c r="E80" s="765">
        <v>13.34</v>
      </c>
      <c r="F80" s="764">
        <v>60.503999999999998</v>
      </c>
      <c r="G80" s="764">
        <v>155.52799999999999</v>
      </c>
      <c r="H80" s="766">
        <v>12.49</v>
      </c>
    </row>
    <row r="81" spans="2:8" ht="15" customHeight="1" x14ac:dyDescent="0.2">
      <c r="B81" s="763" t="s">
        <v>316</v>
      </c>
      <c r="C81" s="764">
        <v>128.51900000000001</v>
      </c>
      <c r="D81" s="764">
        <v>446.91</v>
      </c>
      <c r="E81" s="765">
        <v>17.71</v>
      </c>
      <c r="F81" s="764">
        <v>131.70500000000001</v>
      </c>
      <c r="G81" s="764">
        <v>221.53100000000001</v>
      </c>
      <c r="H81" s="766">
        <v>21.03</v>
      </c>
    </row>
    <row r="82" spans="2:8" ht="15" customHeight="1" x14ac:dyDescent="0.2">
      <c r="B82" s="767" t="s">
        <v>314</v>
      </c>
      <c r="C82" s="768">
        <v>111.05200000000001</v>
      </c>
      <c r="D82" s="768">
        <v>219.03200000000001</v>
      </c>
      <c r="E82" s="769">
        <v>13.09</v>
      </c>
      <c r="F82" s="768">
        <v>93.95</v>
      </c>
      <c r="G82" s="768">
        <v>201.93100000000001</v>
      </c>
      <c r="H82" s="770">
        <v>15.73</v>
      </c>
    </row>
    <row r="85" spans="2:8" ht="15" customHeight="1" x14ac:dyDescent="0.2">
      <c r="B85" s="1109" t="s">
        <v>380</v>
      </c>
      <c r="C85" s="1089" t="s">
        <v>333</v>
      </c>
      <c r="D85" s="1089"/>
      <c r="E85" s="1089"/>
      <c r="F85" s="1089" t="s">
        <v>334</v>
      </c>
      <c r="G85" s="1089"/>
      <c r="H85" s="1018"/>
    </row>
    <row r="86" spans="2:8" ht="15" customHeight="1" x14ac:dyDescent="0.2">
      <c r="B86" s="1110"/>
      <c r="C86" s="732" t="s">
        <v>78</v>
      </c>
      <c r="D86" s="1091" t="s">
        <v>79</v>
      </c>
      <c r="E86" s="1091"/>
      <c r="F86" s="732" t="s">
        <v>78</v>
      </c>
      <c r="G86" s="1091" t="s">
        <v>79</v>
      </c>
      <c r="H86" s="1013"/>
    </row>
    <row r="87" spans="2:8" ht="30" customHeight="1" x14ac:dyDescent="0.2">
      <c r="B87" s="1110"/>
      <c r="C87" s="1090" t="s">
        <v>326</v>
      </c>
      <c r="D87" s="1090"/>
      <c r="E87" s="130" t="s">
        <v>82</v>
      </c>
      <c r="F87" s="1090" t="s">
        <v>326</v>
      </c>
      <c r="G87" s="1090"/>
      <c r="H87" s="131" t="s">
        <v>82</v>
      </c>
    </row>
    <row r="88" spans="2:8" ht="15" customHeight="1" x14ac:dyDescent="0.2">
      <c r="B88" s="759" t="str">
        <f>Index!$B$4</f>
        <v>England</v>
      </c>
      <c r="C88" s="760">
        <v>1120.8820000000001</v>
      </c>
      <c r="D88" s="760">
        <v>1864.1179999999999</v>
      </c>
      <c r="E88" s="761">
        <v>6.0087275633713189</v>
      </c>
      <c r="F88" s="760">
        <v>1071.3800000000001</v>
      </c>
      <c r="G88" s="760">
        <v>1537.9449999999999</v>
      </c>
      <c r="H88" s="762">
        <v>5.3753890135659841</v>
      </c>
    </row>
    <row r="89" spans="2:8" ht="15" customHeight="1" x14ac:dyDescent="0.2">
      <c r="B89" s="763" t="s">
        <v>313</v>
      </c>
      <c r="C89" s="764">
        <v>116.366</v>
      </c>
      <c r="D89" s="764">
        <v>201.227</v>
      </c>
      <c r="E89" s="765">
        <v>18.16</v>
      </c>
      <c r="F89" s="764">
        <v>99.707999999999998</v>
      </c>
      <c r="G89" s="764">
        <v>148.386</v>
      </c>
      <c r="H89" s="766">
        <v>14.64</v>
      </c>
    </row>
    <row r="90" spans="2:8" ht="15" customHeight="1" x14ac:dyDescent="0.2">
      <c r="B90" s="763" t="s">
        <v>325</v>
      </c>
      <c r="C90" s="764">
        <v>84.558000000000007</v>
      </c>
      <c r="D90" s="764">
        <v>181.90899999999999</v>
      </c>
      <c r="E90" s="765">
        <v>15.4</v>
      </c>
      <c r="F90" s="764">
        <v>105.60299999999999</v>
      </c>
      <c r="G90" s="764">
        <v>183.56899999999999</v>
      </c>
      <c r="H90" s="766">
        <v>15.26</v>
      </c>
    </row>
    <row r="91" spans="2:8" ht="15" customHeight="1" x14ac:dyDescent="0.2">
      <c r="B91" s="763" t="s">
        <v>319</v>
      </c>
      <c r="C91" s="764">
        <v>127.28400000000001</v>
      </c>
      <c r="D91" s="764">
        <v>159.32300000000001</v>
      </c>
      <c r="E91" s="765">
        <v>19.53</v>
      </c>
      <c r="F91" s="764">
        <v>110.233</v>
      </c>
      <c r="G91" s="764">
        <v>71.361000000000004</v>
      </c>
      <c r="H91" s="766">
        <v>22.26</v>
      </c>
    </row>
    <row r="92" spans="2:8" ht="15" customHeight="1" x14ac:dyDescent="0.2">
      <c r="B92" s="763" t="s">
        <v>317</v>
      </c>
      <c r="C92" s="764">
        <v>34.295999999999999</v>
      </c>
      <c r="D92" s="764">
        <v>83.795000000000002</v>
      </c>
      <c r="E92" s="765">
        <v>34.08</v>
      </c>
      <c r="F92" s="764">
        <v>27.609000000000002</v>
      </c>
      <c r="G92" s="764">
        <v>53.311999999999998</v>
      </c>
      <c r="H92" s="766">
        <v>24.38</v>
      </c>
    </row>
    <row r="93" spans="2:8" ht="15" customHeight="1" x14ac:dyDescent="0.2">
      <c r="B93" s="763" t="s">
        <v>315</v>
      </c>
      <c r="C93" s="764">
        <v>3.9620000000000002</v>
      </c>
      <c r="D93" s="764">
        <v>10.875</v>
      </c>
      <c r="E93" s="765">
        <v>28.31</v>
      </c>
      <c r="F93" s="764">
        <v>5.4340000000000002</v>
      </c>
      <c r="G93" s="764">
        <v>24.6</v>
      </c>
      <c r="H93" s="766">
        <v>42.45</v>
      </c>
    </row>
    <row r="94" spans="2:8" ht="15" customHeight="1" x14ac:dyDescent="0.2">
      <c r="B94" s="763" t="s">
        <v>320</v>
      </c>
      <c r="C94" s="764">
        <v>0.64400000000000002</v>
      </c>
      <c r="D94" s="764">
        <v>11.055</v>
      </c>
      <c r="E94" s="765">
        <v>23.5</v>
      </c>
      <c r="F94" s="764">
        <v>0.93</v>
      </c>
      <c r="G94" s="764">
        <v>36.366</v>
      </c>
      <c r="H94" s="766">
        <v>41.85</v>
      </c>
    </row>
    <row r="95" spans="2:8" ht="15" customHeight="1" x14ac:dyDescent="0.2">
      <c r="B95" s="763" t="s">
        <v>321</v>
      </c>
      <c r="C95" s="764">
        <v>22.312000000000001</v>
      </c>
      <c r="D95" s="764">
        <v>134.774</v>
      </c>
      <c r="E95" s="765">
        <v>27.91</v>
      </c>
      <c r="F95" s="764">
        <v>41.323</v>
      </c>
      <c r="G95" s="764">
        <v>63.48</v>
      </c>
      <c r="H95" s="766">
        <v>19.22</v>
      </c>
    </row>
    <row r="96" spans="2:8" ht="15" customHeight="1" x14ac:dyDescent="0.2">
      <c r="B96" s="763" t="s">
        <v>318</v>
      </c>
      <c r="C96" s="764">
        <v>24.646000000000001</v>
      </c>
      <c r="D96" s="764">
        <v>67.798000000000002</v>
      </c>
      <c r="E96" s="765">
        <v>26.98</v>
      </c>
      <c r="F96" s="764">
        <v>23.984000000000002</v>
      </c>
      <c r="G96" s="764">
        <v>42.78</v>
      </c>
      <c r="H96" s="766">
        <v>30.35</v>
      </c>
    </row>
    <row r="97" spans="2:8" ht="15" customHeight="1" x14ac:dyDescent="0.2">
      <c r="B97" s="763" t="s">
        <v>312</v>
      </c>
      <c r="C97" s="764">
        <v>343.99200000000002</v>
      </c>
      <c r="D97" s="764">
        <v>259.54899999999998</v>
      </c>
      <c r="E97" s="765">
        <v>21.27</v>
      </c>
      <c r="F97" s="764">
        <v>312.86099999999999</v>
      </c>
      <c r="G97" s="764">
        <v>197.40799999999999</v>
      </c>
      <c r="H97" s="766">
        <v>16.32</v>
      </c>
    </row>
    <row r="98" spans="2:8" ht="15" customHeight="1" x14ac:dyDescent="0.2">
      <c r="B98" s="763" t="s">
        <v>322</v>
      </c>
      <c r="C98" s="764">
        <v>89.826999999999998</v>
      </c>
      <c r="D98" s="764">
        <v>145.036</v>
      </c>
      <c r="E98" s="765">
        <v>17.899999999999999</v>
      </c>
      <c r="F98" s="764">
        <v>77.070999999999998</v>
      </c>
      <c r="G98" s="764">
        <v>114.54</v>
      </c>
      <c r="H98" s="766">
        <v>17.809999999999999</v>
      </c>
    </row>
    <row r="99" spans="2:8" ht="15" customHeight="1" x14ac:dyDescent="0.2">
      <c r="B99" s="763" t="s">
        <v>323</v>
      </c>
      <c r="C99" s="764">
        <v>9.0670000000000002</v>
      </c>
      <c r="D99" s="764">
        <v>146.887</v>
      </c>
      <c r="E99" s="765">
        <v>21.18</v>
      </c>
      <c r="F99" s="764">
        <v>6.3719999999999999</v>
      </c>
      <c r="G99" s="764">
        <v>122.51900000000001</v>
      </c>
      <c r="H99" s="766">
        <v>25.35</v>
      </c>
    </row>
    <row r="100" spans="2:8" ht="15" customHeight="1" x14ac:dyDescent="0.2">
      <c r="B100" s="763" t="s">
        <v>324</v>
      </c>
      <c r="C100" s="764">
        <v>62.692999999999998</v>
      </c>
      <c r="D100" s="764">
        <v>129.36000000000001</v>
      </c>
      <c r="E100" s="765">
        <v>21.25</v>
      </c>
      <c r="F100" s="764">
        <v>52.445999999999998</v>
      </c>
      <c r="G100" s="764">
        <v>107.85599999999999</v>
      </c>
      <c r="H100" s="766">
        <v>11.47</v>
      </c>
    </row>
    <row r="101" spans="2:8" ht="15" customHeight="1" x14ac:dyDescent="0.2">
      <c r="B101" s="763" t="s">
        <v>316</v>
      </c>
      <c r="C101" s="764">
        <v>120.569</v>
      </c>
      <c r="D101" s="764">
        <v>162.16200000000001</v>
      </c>
      <c r="E101" s="765">
        <v>18.11</v>
      </c>
      <c r="F101" s="764">
        <v>117.768</v>
      </c>
      <c r="G101" s="764">
        <v>200.52600000000001</v>
      </c>
      <c r="H101" s="766">
        <v>18.66</v>
      </c>
    </row>
    <row r="102" spans="2:8" ht="15" customHeight="1" x14ac:dyDescent="0.2">
      <c r="B102" s="767" t="s">
        <v>314</v>
      </c>
      <c r="C102" s="768">
        <v>80.665999999999997</v>
      </c>
      <c r="D102" s="768">
        <v>170.36799999999999</v>
      </c>
      <c r="E102" s="769">
        <v>14</v>
      </c>
      <c r="F102" s="768">
        <v>90.037999999999997</v>
      </c>
      <c r="G102" s="768">
        <v>171.24199999999999</v>
      </c>
      <c r="H102" s="770">
        <v>13.4</v>
      </c>
    </row>
    <row r="105" spans="2:8" ht="15" customHeight="1" x14ac:dyDescent="0.2">
      <c r="B105" s="1109" t="s">
        <v>380</v>
      </c>
      <c r="C105" s="1089" t="s">
        <v>231</v>
      </c>
      <c r="D105" s="1089"/>
      <c r="E105" s="1089"/>
      <c r="F105" s="1089" t="s">
        <v>232</v>
      </c>
      <c r="G105" s="1089"/>
      <c r="H105" s="1018"/>
    </row>
    <row r="106" spans="2:8" ht="15" customHeight="1" x14ac:dyDescent="0.2">
      <c r="B106" s="1110"/>
      <c r="C106" s="732" t="s">
        <v>78</v>
      </c>
      <c r="D106" s="1091" t="s">
        <v>79</v>
      </c>
      <c r="E106" s="1091"/>
      <c r="F106" s="732" t="s">
        <v>78</v>
      </c>
      <c r="G106" s="1091" t="s">
        <v>79</v>
      </c>
      <c r="H106" s="1013"/>
    </row>
    <row r="107" spans="2:8" ht="30" customHeight="1" x14ac:dyDescent="0.2">
      <c r="B107" s="1110"/>
      <c r="C107" s="1090" t="s">
        <v>326</v>
      </c>
      <c r="D107" s="1090"/>
      <c r="E107" s="130" t="s">
        <v>82</v>
      </c>
      <c r="F107" s="1090" t="s">
        <v>326</v>
      </c>
      <c r="G107" s="1090"/>
      <c r="H107" s="131" t="s">
        <v>82</v>
      </c>
    </row>
    <row r="108" spans="2:8" ht="15" customHeight="1" x14ac:dyDescent="0.2">
      <c r="B108" s="759" t="str">
        <f>Index!$B$4</f>
        <v>England</v>
      </c>
      <c r="C108" s="760">
        <v>903.81200000000001</v>
      </c>
      <c r="D108" s="760">
        <v>1437.366</v>
      </c>
      <c r="E108" s="761">
        <v>5.6549002041536838</v>
      </c>
      <c r="F108" s="760">
        <v>1425.9059999999999</v>
      </c>
      <c r="G108" s="760">
        <v>1622.8710000000001</v>
      </c>
      <c r="H108" s="762">
        <v>5.9226321723649189</v>
      </c>
    </row>
    <row r="109" spans="2:8" ht="15" customHeight="1" x14ac:dyDescent="0.2">
      <c r="B109" s="763" t="s">
        <v>313</v>
      </c>
      <c r="C109" s="764">
        <v>108.762</v>
      </c>
      <c r="D109" s="764">
        <v>183.33199999999999</v>
      </c>
      <c r="E109" s="765">
        <v>16.809999999999999</v>
      </c>
      <c r="F109" s="764">
        <v>188.303</v>
      </c>
      <c r="G109" s="764">
        <v>200.94499999999999</v>
      </c>
      <c r="H109" s="766">
        <v>22.23</v>
      </c>
    </row>
    <row r="110" spans="2:8" ht="15" customHeight="1" x14ac:dyDescent="0.2">
      <c r="B110" s="763" t="s">
        <v>325</v>
      </c>
      <c r="C110" s="764">
        <v>84.367999999999995</v>
      </c>
      <c r="D110" s="764">
        <v>130.34399999999999</v>
      </c>
      <c r="E110" s="765">
        <v>16.260000000000002</v>
      </c>
      <c r="F110" s="764">
        <v>92.313000000000002</v>
      </c>
      <c r="G110" s="764">
        <v>204.273</v>
      </c>
      <c r="H110" s="766">
        <v>19.190000000000001</v>
      </c>
    </row>
    <row r="111" spans="2:8" ht="15" customHeight="1" x14ac:dyDescent="0.2">
      <c r="B111" s="763" t="s">
        <v>319</v>
      </c>
      <c r="C111" s="764">
        <v>82.052999999999997</v>
      </c>
      <c r="D111" s="764">
        <v>108.282</v>
      </c>
      <c r="E111" s="765">
        <v>24.3</v>
      </c>
      <c r="F111" s="764">
        <v>83.418999999999997</v>
      </c>
      <c r="G111" s="764">
        <v>89.23</v>
      </c>
      <c r="H111" s="766">
        <v>16.16</v>
      </c>
    </row>
    <row r="112" spans="2:8" ht="15" customHeight="1" x14ac:dyDescent="0.2">
      <c r="B112" s="763" t="s">
        <v>317</v>
      </c>
      <c r="C112" s="764">
        <v>43.662999999999997</v>
      </c>
      <c r="D112" s="764">
        <v>45.841000000000001</v>
      </c>
      <c r="E112" s="765">
        <v>14.85</v>
      </c>
      <c r="F112" s="764">
        <v>33.423000000000002</v>
      </c>
      <c r="G112" s="764">
        <v>78.244</v>
      </c>
      <c r="H112" s="766">
        <v>38.4</v>
      </c>
    </row>
    <row r="113" spans="2:8" ht="15" customHeight="1" x14ac:dyDescent="0.2">
      <c r="B113" s="763" t="s">
        <v>315</v>
      </c>
      <c r="C113" s="764">
        <v>2.8580000000000001</v>
      </c>
      <c r="D113" s="764">
        <v>13.582000000000001</v>
      </c>
      <c r="E113" s="765">
        <v>26.34</v>
      </c>
      <c r="F113" s="764">
        <v>2.714</v>
      </c>
      <c r="G113" s="764">
        <v>22.170999999999999</v>
      </c>
      <c r="H113" s="766">
        <v>29.61</v>
      </c>
    </row>
    <row r="114" spans="2:8" ht="15" customHeight="1" x14ac:dyDescent="0.2">
      <c r="B114" s="763" t="s">
        <v>320</v>
      </c>
      <c r="C114" s="764">
        <v>0.88200000000000001</v>
      </c>
      <c r="D114" s="764">
        <v>24.172000000000001</v>
      </c>
      <c r="E114" s="765">
        <v>29.73</v>
      </c>
      <c r="F114" s="764">
        <v>5.4580000000000002</v>
      </c>
      <c r="G114" s="764">
        <v>15.317</v>
      </c>
      <c r="H114" s="766">
        <v>20.91</v>
      </c>
    </row>
    <row r="115" spans="2:8" ht="15" customHeight="1" x14ac:dyDescent="0.2">
      <c r="B115" s="763" t="s">
        <v>321</v>
      </c>
      <c r="C115" s="764">
        <v>21.765000000000001</v>
      </c>
      <c r="D115" s="764">
        <v>41.133000000000003</v>
      </c>
      <c r="E115" s="765">
        <v>13.14</v>
      </c>
      <c r="F115" s="764">
        <v>57.508000000000003</v>
      </c>
      <c r="G115" s="764">
        <v>63.802999999999997</v>
      </c>
      <c r="H115" s="766">
        <v>20.57</v>
      </c>
    </row>
    <row r="116" spans="2:8" ht="15" customHeight="1" x14ac:dyDescent="0.2">
      <c r="B116" s="763" t="s">
        <v>318</v>
      </c>
      <c r="C116" s="764">
        <v>24.838000000000001</v>
      </c>
      <c r="D116" s="764">
        <v>60.563000000000002</v>
      </c>
      <c r="E116" s="765">
        <v>35.53</v>
      </c>
      <c r="F116" s="764">
        <v>27.324000000000002</v>
      </c>
      <c r="G116" s="764">
        <v>51.89</v>
      </c>
      <c r="H116" s="766">
        <v>40.020000000000003</v>
      </c>
    </row>
    <row r="117" spans="2:8" ht="15" customHeight="1" x14ac:dyDescent="0.2">
      <c r="B117" s="763" t="s">
        <v>312</v>
      </c>
      <c r="C117" s="764">
        <v>253.268</v>
      </c>
      <c r="D117" s="764">
        <v>181.24</v>
      </c>
      <c r="E117" s="765">
        <v>17.57</v>
      </c>
      <c r="F117" s="764">
        <v>446.40800000000002</v>
      </c>
      <c r="G117" s="764">
        <v>251.57900000000001</v>
      </c>
      <c r="H117" s="766">
        <v>20.8</v>
      </c>
    </row>
    <row r="118" spans="2:8" ht="15" customHeight="1" x14ac:dyDescent="0.2">
      <c r="B118" s="763" t="s">
        <v>322</v>
      </c>
      <c r="C118" s="764">
        <v>63.811999999999998</v>
      </c>
      <c r="D118" s="764">
        <v>152.94</v>
      </c>
      <c r="E118" s="765">
        <v>26.64</v>
      </c>
      <c r="F118" s="764">
        <v>95.016999999999996</v>
      </c>
      <c r="G118" s="764">
        <v>108.004</v>
      </c>
      <c r="H118" s="766">
        <v>14.32</v>
      </c>
    </row>
    <row r="119" spans="2:8" ht="15" customHeight="1" x14ac:dyDescent="0.2">
      <c r="B119" s="763" t="s">
        <v>323</v>
      </c>
      <c r="C119" s="764">
        <v>8.7929999999999993</v>
      </c>
      <c r="D119" s="764">
        <v>104.664</v>
      </c>
      <c r="E119" s="765">
        <v>18.86</v>
      </c>
      <c r="F119" s="764">
        <v>40.031999999999996</v>
      </c>
      <c r="G119" s="764">
        <v>92.727999999999994</v>
      </c>
      <c r="H119" s="766">
        <v>9.23</v>
      </c>
    </row>
    <row r="120" spans="2:8" ht="15" customHeight="1" x14ac:dyDescent="0.2">
      <c r="B120" s="763" t="s">
        <v>324</v>
      </c>
      <c r="C120" s="764">
        <v>43.613</v>
      </c>
      <c r="D120" s="764">
        <v>108.97</v>
      </c>
      <c r="E120" s="765">
        <v>7.94</v>
      </c>
      <c r="F120" s="764">
        <v>43.976999999999997</v>
      </c>
      <c r="G120" s="764">
        <v>136.33500000000001</v>
      </c>
      <c r="H120" s="766">
        <v>11.08</v>
      </c>
    </row>
    <row r="121" spans="2:8" ht="15" customHeight="1" x14ac:dyDescent="0.2">
      <c r="B121" s="763" t="s">
        <v>316</v>
      </c>
      <c r="C121" s="764">
        <v>98.951999999999998</v>
      </c>
      <c r="D121" s="764">
        <v>140.03</v>
      </c>
      <c r="E121" s="765">
        <v>17.54</v>
      </c>
      <c r="F121" s="764">
        <v>101.836</v>
      </c>
      <c r="G121" s="764">
        <v>150.005</v>
      </c>
      <c r="H121" s="766">
        <v>12.77</v>
      </c>
    </row>
    <row r="122" spans="2:8" ht="15" customHeight="1" x14ac:dyDescent="0.2">
      <c r="B122" s="767" t="s">
        <v>314</v>
      </c>
      <c r="C122" s="768">
        <v>66.185000000000002</v>
      </c>
      <c r="D122" s="768">
        <v>142.273</v>
      </c>
      <c r="E122" s="769">
        <v>9.18</v>
      </c>
      <c r="F122" s="768">
        <v>208.17400000000001</v>
      </c>
      <c r="G122" s="768">
        <v>158.34700000000001</v>
      </c>
      <c r="H122" s="770">
        <v>10.81</v>
      </c>
    </row>
    <row r="125" spans="2:8" ht="15" customHeight="1" x14ac:dyDescent="0.2">
      <c r="B125" s="1109" t="s">
        <v>380</v>
      </c>
      <c r="C125" s="1089" t="s">
        <v>233</v>
      </c>
      <c r="D125" s="1089"/>
      <c r="E125" s="1018"/>
    </row>
    <row r="126" spans="2:8" ht="15" customHeight="1" x14ac:dyDescent="0.2">
      <c r="B126" s="1110"/>
      <c r="C126" s="732" t="s">
        <v>78</v>
      </c>
      <c r="D126" s="1091" t="s">
        <v>79</v>
      </c>
      <c r="E126" s="1013"/>
    </row>
    <row r="127" spans="2:8" ht="30" customHeight="1" x14ac:dyDescent="0.2">
      <c r="B127" s="1110"/>
      <c r="C127" s="1090" t="s">
        <v>326</v>
      </c>
      <c r="D127" s="1090"/>
      <c r="E127" s="131" t="s">
        <v>82</v>
      </c>
    </row>
    <row r="128" spans="2:8" ht="15" customHeight="1" x14ac:dyDescent="0.2">
      <c r="B128" s="759" t="str">
        <f>Index!$B$4</f>
        <v>England</v>
      </c>
      <c r="C128" s="760">
        <v>868.93399999999997</v>
      </c>
      <c r="D128" s="760">
        <v>1370.6420000000001</v>
      </c>
      <c r="E128" s="762">
        <v>5.9733356391400863</v>
      </c>
    </row>
    <row r="129" spans="2:5" ht="15" customHeight="1" x14ac:dyDescent="0.2">
      <c r="B129" s="763" t="s">
        <v>313</v>
      </c>
      <c r="C129" s="764">
        <v>95.311000000000007</v>
      </c>
      <c r="D129" s="764">
        <v>184.821</v>
      </c>
      <c r="E129" s="766">
        <v>20.38</v>
      </c>
    </row>
    <row r="130" spans="2:5" ht="15" customHeight="1" x14ac:dyDescent="0.2">
      <c r="B130" s="763" t="s">
        <v>325</v>
      </c>
      <c r="C130" s="764">
        <v>138.72300000000001</v>
      </c>
      <c r="D130" s="764">
        <v>94.292000000000002</v>
      </c>
      <c r="E130" s="766">
        <v>6.48</v>
      </c>
    </row>
    <row r="131" spans="2:5" ht="15" customHeight="1" x14ac:dyDescent="0.2">
      <c r="B131" s="763" t="s">
        <v>319</v>
      </c>
      <c r="C131" s="764">
        <v>69.259</v>
      </c>
      <c r="D131" s="764">
        <v>86.304000000000002</v>
      </c>
      <c r="E131" s="766">
        <v>9.25</v>
      </c>
    </row>
    <row r="132" spans="2:5" ht="15" customHeight="1" x14ac:dyDescent="0.2">
      <c r="B132" s="763" t="s">
        <v>317</v>
      </c>
      <c r="C132" s="764">
        <v>31.556000000000001</v>
      </c>
      <c r="D132" s="764">
        <v>54.173999999999999</v>
      </c>
      <c r="E132" s="766">
        <v>19.100000000000001</v>
      </c>
    </row>
    <row r="133" spans="2:5" ht="15" customHeight="1" x14ac:dyDescent="0.2">
      <c r="B133" s="763" t="s">
        <v>315</v>
      </c>
      <c r="C133" s="764">
        <v>2.891</v>
      </c>
      <c r="D133" s="764">
        <v>15.65</v>
      </c>
      <c r="E133" s="766">
        <v>25.87</v>
      </c>
    </row>
    <row r="134" spans="2:5" ht="15" customHeight="1" x14ac:dyDescent="0.2">
      <c r="B134" s="763" t="s">
        <v>320</v>
      </c>
      <c r="C134" s="764">
        <v>1.105</v>
      </c>
      <c r="D134" s="764">
        <v>17.748999999999999</v>
      </c>
      <c r="E134" s="766">
        <v>18.61</v>
      </c>
    </row>
    <row r="135" spans="2:5" ht="15" customHeight="1" x14ac:dyDescent="0.2">
      <c r="B135" s="763" t="s">
        <v>321</v>
      </c>
      <c r="C135" s="764">
        <v>20.928000000000001</v>
      </c>
      <c r="D135" s="764">
        <v>58.523000000000003</v>
      </c>
      <c r="E135" s="766">
        <v>15.38</v>
      </c>
    </row>
    <row r="136" spans="2:5" ht="15" customHeight="1" x14ac:dyDescent="0.2">
      <c r="B136" s="763" t="s">
        <v>318</v>
      </c>
      <c r="C136" s="764">
        <v>24.099</v>
      </c>
      <c r="D136" s="764">
        <v>26.802</v>
      </c>
      <c r="E136" s="766">
        <v>17.53</v>
      </c>
    </row>
    <row r="137" spans="2:5" ht="15" customHeight="1" x14ac:dyDescent="0.2">
      <c r="B137" s="763" t="s">
        <v>312</v>
      </c>
      <c r="C137" s="764">
        <v>184.489</v>
      </c>
      <c r="D137" s="764">
        <v>262.19400000000002</v>
      </c>
      <c r="E137" s="766">
        <v>24.43</v>
      </c>
    </row>
    <row r="138" spans="2:5" ht="15" customHeight="1" x14ac:dyDescent="0.2">
      <c r="B138" s="763" t="s">
        <v>322</v>
      </c>
      <c r="C138" s="764">
        <v>59.436999999999998</v>
      </c>
      <c r="D138" s="764">
        <v>84.272000000000006</v>
      </c>
      <c r="E138" s="766">
        <v>8.18</v>
      </c>
    </row>
    <row r="139" spans="2:5" ht="15" customHeight="1" x14ac:dyDescent="0.2">
      <c r="B139" s="763" t="s">
        <v>323</v>
      </c>
      <c r="C139" s="764">
        <v>9.5969999999999995</v>
      </c>
      <c r="D139" s="764">
        <v>105.907</v>
      </c>
      <c r="E139" s="766">
        <v>15.1</v>
      </c>
    </row>
    <row r="140" spans="2:5" ht="15" customHeight="1" x14ac:dyDescent="0.2">
      <c r="B140" s="763" t="s">
        <v>324</v>
      </c>
      <c r="C140" s="764">
        <v>60.320999999999998</v>
      </c>
      <c r="D140" s="764">
        <v>106.096</v>
      </c>
      <c r="E140" s="766">
        <v>6.67</v>
      </c>
    </row>
    <row r="141" spans="2:5" ht="15" customHeight="1" x14ac:dyDescent="0.2">
      <c r="B141" s="763" t="s">
        <v>316</v>
      </c>
      <c r="C141" s="764">
        <v>95.403999999999996</v>
      </c>
      <c r="D141" s="764">
        <v>467.99599999999998</v>
      </c>
      <c r="E141" s="766">
        <v>15.18</v>
      </c>
    </row>
    <row r="142" spans="2:5" ht="15" customHeight="1" x14ac:dyDescent="0.2">
      <c r="B142" s="767" t="s">
        <v>314</v>
      </c>
      <c r="C142" s="768">
        <v>75.813999999999993</v>
      </c>
      <c r="D142" s="768">
        <v>158.708</v>
      </c>
      <c r="E142" s="770">
        <v>12.84</v>
      </c>
    </row>
  </sheetData>
  <mergeCells count="73">
    <mergeCell ref="AG5:AI5"/>
    <mergeCell ref="B5:B7"/>
    <mergeCell ref="C5:E5"/>
    <mergeCell ref="F5:H5"/>
    <mergeCell ref="I5:K5"/>
    <mergeCell ref="L5:N5"/>
    <mergeCell ref="O5:Q5"/>
    <mergeCell ref="D6:E6"/>
    <mergeCell ref="G6:H6"/>
    <mergeCell ref="J6:K6"/>
    <mergeCell ref="M6:N6"/>
    <mergeCell ref="R5:T5"/>
    <mergeCell ref="U5:W5"/>
    <mergeCell ref="X5:Z5"/>
    <mergeCell ref="AA5:AC5"/>
    <mergeCell ref="AD5:AF5"/>
    <mergeCell ref="AH6:AI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P6:Q6"/>
    <mergeCell ref="S6:T6"/>
    <mergeCell ref="V6:W6"/>
    <mergeCell ref="Y6:Z6"/>
    <mergeCell ref="AB6:AC6"/>
    <mergeCell ref="AE6:AF6"/>
    <mergeCell ref="AD7:AE7"/>
    <mergeCell ref="AG7:AH7"/>
    <mergeCell ref="B25:B27"/>
    <mergeCell ref="C25:E25"/>
    <mergeCell ref="F25:H25"/>
    <mergeCell ref="D26:E26"/>
    <mergeCell ref="G26:H26"/>
    <mergeCell ref="C27:D27"/>
    <mergeCell ref="F27:G27"/>
    <mergeCell ref="B45:B47"/>
    <mergeCell ref="C45:E45"/>
    <mergeCell ref="F45:H45"/>
    <mergeCell ref="D46:E46"/>
    <mergeCell ref="G46:H46"/>
    <mergeCell ref="C47:D47"/>
    <mergeCell ref="F47:G47"/>
    <mergeCell ref="B65:B67"/>
    <mergeCell ref="C65:E65"/>
    <mergeCell ref="F65:H65"/>
    <mergeCell ref="D66:E66"/>
    <mergeCell ref="G66:H66"/>
    <mergeCell ref="C67:D67"/>
    <mergeCell ref="F67:G67"/>
    <mergeCell ref="B85:B87"/>
    <mergeCell ref="C85:E85"/>
    <mergeCell ref="F85:H85"/>
    <mergeCell ref="D86:E86"/>
    <mergeCell ref="G86:H86"/>
    <mergeCell ref="C87:D87"/>
    <mergeCell ref="F87:G87"/>
    <mergeCell ref="F105:H105"/>
    <mergeCell ref="D106:E106"/>
    <mergeCell ref="G106:H106"/>
    <mergeCell ref="C107:D107"/>
    <mergeCell ref="F107:G107"/>
    <mergeCell ref="B125:B127"/>
    <mergeCell ref="C125:E125"/>
    <mergeCell ref="D126:E126"/>
    <mergeCell ref="C127:D127"/>
    <mergeCell ref="B105:B107"/>
    <mergeCell ref="C105:E105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F21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72</v>
      </c>
      <c r="C3" t="s">
        <v>76</v>
      </c>
    </row>
    <row r="4" spans="2:6" ht="15" customHeight="1" x14ac:dyDescent="0.2">
      <c r="C4" s="719"/>
    </row>
    <row r="5" spans="2:6" ht="15" customHeight="1" x14ac:dyDescent="0.2">
      <c r="B5" s="1067" t="s">
        <v>76</v>
      </c>
      <c r="C5" s="720" t="s">
        <v>78</v>
      </c>
      <c r="D5" s="1069" t="s">
        <v>79</v>
      </c>
      <c r="E5" s="1070"/>
      <c r="F5" s="721" t="s">
        <v>80</v>
      </c>
    </row>
    <row r="6" spans="2:6" ht="30" customHeight="1" x14ac:dyDescent="0.2">
      <c r="B6" s="1068"/>
      <c r="C6" s="722" t="s">
        <v>81</v>
      </c>
      <c r="D6" s="722" t="s">
        <v>81</v>
      </c>
      <c r="E6" s="12" t="s">
        <v>82</v>
      </c>
      <c r="F6" s="723" t="s">
        <v>81</v>
      </c>
    </row>
    <row r="7" spans="2:6" ht="15" customHeight="1" x14ac:dyDescent="0.2">
      <c r="B7" s="724" t="str">
        <f>Index!$B$4</f>
        <v>England</v>
      </c>
      <c r="C7" s="725">
        <f>'Section 6 data country'!$C$26</f>
        <v>0</v>
      </c>
      <c r="D7" s="725">
        <f>'Section 6 data country'!$D$26</f>
        <v>0</v>
      </c>
      <c r="E7" s="726">
        <f>'Section 6 data country'!$E$26</f>
        <v>0</v>
      </c>
      <c r="F7" s="727">
        <f>SUM(C7,D7)</f>
        <v>0</v>
      </c>
    </row>
    <row r="8" spans="2:6" ht="15" customHeight="1" x14ac:dyDescent="0.2">
      <c r="B8" s="728" t="s">
        <v>286</v>
      </c>
      <c r="C8" s="729">
        <f>'Section 6 data country'!$C$27</f>
        <v>0</v>
      </c>
      <c r="D8" s="729">
        <f>'Section 6 data country'!$D$27</f>
        <v>0</v>
      </c>
      <c r="E8" s="730">
        <f>'Section 6 data country'!$E$27</f>
        <v>0</v>
      </c>
      <c r="F8" s="731">
        <f t="shared" ref="F8:F21" si="0">SUM(C8,D8)</f>
        <v>0</v>
      </c>
    </row>
    <row r="9" spans="2:6" ht="15" customHeight="1" x14ac:dyDescent="0.2">
      <c r="B9" s="728" t="s">
        <v>298</v>
      </c>
      <c r="C9" s="729">
        <f>'Section 6 data country'!$C$28</f>
        <v>0</v>
      </c>
      <c r="D9" s="729">
        <f>'Section 6 data country'!$D$28</f>
        <v>0</v>
      </c>
      <c r="E9" s="730">
        <f>'Section 6 data country'!$E$28</f>
        <v>0</v>
      </c>
      <c r="F9" s="731">
        <f t="shared" si="0"/>
        <v>0</v>
      </c>
    </row>
    <row r="10" spans="2:6" ht="15" customHeight="1" x14ac:dyDescent="0.2">
      <c r="B10" s="728" t="s">
        <v>287</v>
      </c>
      <c r="C10" s="729">
        <f>'Section 6 data country'!$C$29</f>
        <v>0</v>
      </c>
      <c r="D10" s="729">
        <f>'Section 6 data country'!$D$29</f>
        <v>0</v>
      </c>
      <c r="E10" s="730">
        <f>'Section 6 data country'!$E$29</f>
        <v>0</v>
      </c>
      <c r="F10" s="731">
        <f t="shared" si="0"/>
        <v>0</v>
      </c>
    </row>
    <row r="11" spans="2:6" ht="15" customHeight="1" x14ac:dyDescent="0.2">
      <c r="B11" s="728" t="s">
        <v>288</v>
      </c>
      <c r="C11" s="729">
        <f>'Section 6 data country'!$C$30</f>
        <v>0</v>
      </c>
      <c r="D11" s="729">
        <f>'Section 6 data country'!$D$30</f>
        <v>0</v>
      </c>
      <c r="E11" s="730">
        <f>'Section 6 data country'!$E$30</f>
        <v>0</v>
      </c>
      <c r="F11" s="731">
        <f t="shared" si="0"/>
        <v>0</v>
      </c>
    </row>
    <row r="12" spans="2:6" ht="15" customHeight="1" x14ac:dyDescent="0.2">
      <c r="B12" s="728" t="s">
        <v>301</v>
      </c>
      <c r="C12" s="729">
        <f>'Section 6 data country'!$C$31</f>
        <v>0</v>
      </c>
      <c r="D12" s="729">
        <f>'Section 6 data country'!$D$31</f>
        <v>0</v>
      </c>
      <c r="E12" s="730">
        <f>'Section 6 data country'!$E$31</f>
        <v>0</v>
      </c>
      <c r="F12" s="731">
        <f>SUM(C12,D12)</f>
        <v>0</v>
      </c>
    </row>
    <row r="13" spans="2:6" ht="15" customHeight="1" x14ac:dyDescent="0.2">
      <c r="B13" s="728" t="s">
        <v>302</v>
      </c>
      <c r="C13" s="729">
        <f>'Section 6 data country'!$C$32</f>
        <v>0</v>
      </c>
      <c r="D13" s="729">
        <f>'Section 6 data country'!$D$32</f>
        <v>0</v>
      </c>
      <c r="E13" s="730">
        <f>'Section 6 data country'!$E$32</f>
        <v>0</v>
      </c>
      <c r="F13" s="731">
        <f t="shared" si="0"/>
        <v>0</v>
      </c>
    </row>
    <row r="14" spans="2:6" ht="15" customHeight="1" x14ac:dyDescent="0.2">
      <c r="B14" s="728" t="s">
        <v>303</v>
      </c>
      <c r="C14" s="729">
        <f>'Section 6 data country'!$C$33</f>
        <v>0</v>
      </c>
      <c r="D14" s="729">
        <f>'Section 6 data country'!$D$33</f>
        <v>0</v>
      </c>
      <c r="E14" s="730">
        <f>'Section 6 data country'!$E$33</f>
        <v>0</v>
      </c>
      <c r="F14" s="731">
        <f t="shared" si="0"/>
        <v>0</v>
      </c>
    </row>
    <row r="15" spans="2:6" ht="15" customHeight="1" x14ac:dyDescent="0.2">
      <c r="B15" s="728" t="s">
        <v>304</v>
      </c>
      <c r="C15" s="729">
        <f>'Section 6 data country'!$C$34</f>
        <v>0</v>
      </c>
      <c r="D15" s="729">
        <f>'Section 6 data country'!$D$34</f>
        <v>0</v>
      </c>
      <c r="E15" s="730">
        <f>'Section 6 data country'!$E$34</f>
        <v>0</v>
      </c>
      <c r="F15" s="731">
        <f t="shared" si="0"/>
        <v>0</v>
      </c>
    </row>
    <row r="16" spans="2:6" ht="15" customHeight="1" x14ac:dyDescent="0.2">
      <c r="B16" s="728" t="s">
        <v>291</v>
      </c>
      <c r="C16" s="729">
        <f>'Section 6 data country'!$C$35</f>
        <v>0</v>
      </c>
      <c r="D16" s="729">
        <f>'Section 6 data country'!$D$35</f>
        <v>0</v>
      </c>
      <c r="E16" s="730">
        <f>'Section 6 data country'!$E$35</f>
        <v>0</v>
      </c>
      <c r="F16" s="731">
        <f t="shared" si="0"/>
        <v>0</v>
      </c>
    </row>
    <row r="17" spans="2:6" ht="15" customHeight="1" x14ac:dyDescent="0.2">
      <c r="B17" s="728" t="s">
        <v>292</v>
      </c>
      <c r="C17" s="729">
        <f>'Section 6 data country'!$C$36</f>
        <v>0</v>
      </c>
      <c r="D17" s="729">
        <f>'Section 6 data country'!$D$36</f>
        <v>0</v>
      </c>
      <c r="E17" s="730">
        <f>'Section 6 data country'!$E$36</f>
        <v>0</v>
      </c>
      <c r="F17" s="731">
        <f t="shared" si="0"/>
        <v>0</v>
      </c>
    </row>
    <row r="18" spans="2:6" ht="15" customHeight="1" x14ac:dyDescent="0.2">
      <c r="B18" s="728" t="s">
        <v>293</v>
      </c>
      <c r="C18" s="729">
        <f>'Section 6 data country'!$C$37</f>
        <v>0</v>
      </c>
      <c r="D18" s="729">
        <f>'Section 6 data country'!$D$37</f>
        <v>0</v>
      </c>
      <c r="E18" s="730">
        <f>'Section 6 data country'!$E$37</f>
        <v>0</v>
      </c>
      <c r="F18" s="731">
        <f t="shared" si="0"/>
        <v>0</v>
      </c>
    </row>
    <row r="19" spans="2:6" ht="15" customHeight="1" x14ac:dyDescent="0.2">
      <c r="B19" s="728" t="s">
        <v>294</v>
      </c>
      <c r="C19" s="729">
        <f>'Section 6 data country'!$C$38</f>
        <v>0</v>
      </c>
      <c r="D19" s="729">
        <f>'Section 6 data country'!$D$38</f>
        <v>0</v>
      </c>
      <c r="E19" s="730">
        <f>'Section 6 data country'!$E$38</f>
        <v>0</v>
      </c>
      <c r="F19" s="731">
        <f t="shared" si="0"/>
        <v>0</v>
      </c>
    </row>
    <row r="20" spans="2:6" ht="15" customHeight="1" x14ac:dyDescent="0.2">
      <c r="B20" s="728" t="s">
        <v>295</v>
      </c>
      <c r="C20" s="729">
        <f>'Section 6 data country'!$C$39</f>
        <v>0</v>
      </c>
      <c r="D20" s="729">
        <f>'Section 6 data country'!$D$39</f>
        <v>0</v>
      </c>
      <c r="E20" s="730">
        <f>'Section 6 data country'!$E$39</f>
        <v>0</v>
      </c>
      <c r="F20" s="731">
        <f t="shared" si="0"/>
        <v>0</v>
      </c>
    </row>
    <row r="21" spans="2:6" ht="15" customHeight="1" x14ac:dyDescent="0.2">
      <c r="B21" s="728" t="s">
        <v>296</v>
      </c>
      <c r="C21" s="729">
        <f>'Section 6 data country'!$C$40</f>
        <v>0</v>
      </c>
      <c r="D21" s="729">
        <f>'Section 6 data country'!$D$40</f>
        <v>0</v>
      </c>
      <c r="E21" s="730">
        <f>'Section 6 data country'!$E$40</f>
        <v>0</v>
      </c>
      <c r="F21" s="731">
        <f t="shared" si="0"/>
        <v>0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between" id="{61972DF5-6123-45C2-BCFD-DB41EAECE8EC}">
            <xm:f>Sheet1!$D$4</xm:f>
            <xm:f>Sheet1!$E$4</xm:f>
            <x14:dxf>
              <numFmt numFmtId="173" formatCode="&quot;&lt; 1&quot;"/>
            </x14:dxf>
          </x14:cfRule>
          <xm:sqref>C7:F21</xm:sqref>
        </x14:conditionalFormatting>
        <x14:conditionalFormatting xmlns:xm="http://schemas.microsoft.com/office/excel/2006/main">
          <x14:cfRule type="expression" priority="1" id="{F1AF7EE4-A4E1-492D-854E-483E09BCA877}">
            <xm:f>IF($E7&gt;Sheet1!$F$4,1,)</xm:f>
            <x14:dxf>
              <font>
                <color rgb="FF808080"/>
              </font>
            </x14:dxf>
          </x14:cfRule>
          <xm:sqref>D7:F21</xm:sqref>
        </x14:conditionalFormatting>
      </x14:conditionalFormattings>
    </ext>
  </extLst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B3:G6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69</v>
      </c>
      <c r="C3" t="s">
        <v>763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704" t="s">
        <v>78</v>
      </c>
      <c r="D6" s="1059" t="s">
        <v>79</v>
      </c>
      <c r="E6" s="1059"/>
      <c r="F6" s="705" t="s">
        <v>80</v>
      </c>
      <c r="G6" s="23"/>
    </row>
    <row r="7" spans="2:7" ht="15" customHeight="1" x14ac:dyDescent="0.2">
      <c r="B7" s="1034"/>
      <c r="C7" s="1060" t="s">
        <v>762</v>
      </c>
      <c r="D7" s="1034"/>
      <c r="E7" s="706" t="s">
        <v>82</v>
      </c>
      <c r="F7" s="705" t="s">
        <v>762</v>
      </c>
      <c r="G7" s="23"/>
    </row>
    <row r="8" spans="2:7" ht="15" customHeight="1" x14ac:dyDescent="0.2">
      <c r="B8" s="707" t="str">
        <f>Index!$B$4</f>
        <v>England</v>
      </c>
      <c r="C8" s="847">
        <f>'Section 7 data country'!$G$6</f>
        <v>8647.2039999999997</v>
      </c>
      <c r="D8" s="208">
        <f>'Section 7 data country'!$H$6</f>
        <v>19182.116999999998</v>
      </c>
      <c r="E8" s="854">
        <f>'Section 7 data country'!$I$6</f>
        <v>2.3163705555550931</v>
      </c>
      <c r="F8" s="210">
        <f>SUM(C8,D8)</f>
        <v>27829.320999999996</v>
      </c>
      <c r="G8" s="709"/>
    </row>
    <row r="9" spans="2:7" ht="15" customHeight="1" x14ac:dyDescent="0.2">
      <c r="B9" s="710" t="s">
        <v>286</v>
      </c>
      <c r="C9" s="848">
        <f>'Section 7 data country'!$G$7</f>
        <v>920.92899999999997</v>
      </c>
      <c r="D9" s="849">
        <f>'Section 7 data country'!$H$7</f>
        <v>1820.877</v>
      </c>
      <c r="E9" s="855">
        <f>'Section 7 data country'!$I$7</f>
        <v>6.86</v>
      </c>
      <c r="F9" s="852">
        <f t="shared" ref="F9:F22" si="0">SUM(C9,D9)</f>
        <v>2741.806</v>
      </c>
      <c r="G9" s="23"/>
    </row>
    <row r="10" spans="2:7" ht="15" customHeight="1" x14ac:dyDescent="0.2">
      <c r="B10" s="710" t="s">
        <v>298</v>
      </c>
      <c r="C10" s="848">
        <f>'Section 7 data country'!$G$8</f>
        <v>580.98</v>
      </c>
      <c r="D10" s="849">
        <f>'Section 7 data country'!$H$8</f>
        <v>1891.3689999999999</v>
      </c>
      <c r="E10" s="855">
        <f>'Section 7 data country'!$I$8</f>
        <v>6.76</v>
      </c>
      <c r="F10" s="852">
        <f t="shared" si="0"/>
        <v>2472.3490000000002</v>
      </c>
      <c r="G10" s="703"/>
    </row>
    <row r="11" spans="2:7" ht="15" customHeight="1" x14ac:dyDescent="0.2">
      <c r="B11" s="710" t="s">
        <v>287</v>
      </c>
      <c r="C11" s="848">
        <f>'Section 7 data country'!$G$9</f>
        <v>1086.8710000000001</v>
      </c>
      <c r="D11" s="849">
        <f>'Section 7 data country'!$H$9</f>
        <v>1284.0039999999999</v>
      </c>
      <c r="E11" s="855">
        <f>'Section 7 data country'!$I$9</f>
        <v>7.75</v>
      </c>
      <c r="F11" s="852">
        <f t="shared" si="0"/>
        <v>2370.875</v>
      </c>
      <c r="G11" s="703"/>
    </row>
    <row r="12" spans="2:7" ht="15" customHeight="1" x14ac:dyDescent="0.2">
      <c r="B12" s="710" t="s">
        <v>288</v>
      </c>
      <c r="C12" s="848">
        <f>'Section 7 data country'!$G$10</f>
        <v>340.25</v>
      </c>
      <c r="D12" s="849">
        <f>'Section 7 data country'!$H$10</f>
        <v>760.28899999999999</v>
      </c>
      <c r="E12" s="855">
        <f>'Section 7 data country'!$I$10</f>
        <v>12.99</v>
      </c>
      <c r="F12" s="852">
        <f t="shared" si="0"/>
        <v>1100.539</v>
      </c>
      <c r="G12" s="703"/>
    </row>
    <row r="13" spans="2:7" ht="15" customHeight="1" x14ac:dyDescent="0.2">
      <c r="B13" s="710" t="s">
        <v>301</v>
      </c>
      <c r="C13" s="848">
        <f>'Section 7 data country'!$G$11</f>
        <v>40.026000000000003</v>
      </c>
      <c r="D13" s="849">
        <f>'Section 7 data country'!$H$11</f>
        <v>183.703</v>
      </c>
      <c r="E13" s="855">
        <f>'Section 7 data country'!$I$11</f>
        <v>17.97</v>
      </c>
      <c r="F13" s="852">
        <f t="shared" si="0"/>
        <v>223.72900000000001</v>
      </c>
      <c r="G13" s="703"/>
    </row>
    <row r="14" spans="2:7" ht="15" customHeight="1" x14ac:dyDescent="0.2">
      <c r="B14" s="710" t="s">
        <v>302</v>
      </c>
      <c r="C14" s="848">
        <f>'Section 7 data country'!$G$12</f>
        <v>15.616</v>
      </c>
      <c r="D14" s="849">
        <f>'Section 7 data country'!$H$12</f>
        <v>277.69099999999997</v>
      </c>
      <c r="E14" s="855">
        <f>'Section 7 data country'!$I$12</f>
        <v>17.23</v>
      </c>
      <c r="F14" s="852">
        <f t="shared" si="0"/>
        <v>293.30699999999996</v>
      </c>
    </row>
    <row r="15" spans="2:7" ht="15" customHeight="1" x14ac:dyDescent="0.2">
      <c r="B15" s="710" t="s">
        <v>303</v>
      </c>
      <c r="C15" s="848">
        <f>'Section 7 data country'!$G$13</f>
        <v>172.03100000000001</v>
      </c>
      <c r="D15" s="849">
        <f>'Section 7 data country'!$H$13</f>
        <v>842.399</v>
      </c>
      <c r="E15" s="855">
        <f>'Section 7 data country'!$I$13</f>
        <v>9.75</v>
      </c>
      <c r="F15" s="852">
        <f t="shared" si="0"/>
        <v>1014.4300000000001</v>
      </c>
    </row>
    <row r="16" spans="2:7" ht="15" customHeight="1" x14ac:dyDescent="0.2">
      <c r="B16" s="710" t="s">
        <v>304</v>
      </c>
      <c r="C16" s="848">
        <f>'Section 7 data country'!$G$14</f>
        <v>221.45500000000001</v>
      </c>
      <c r="D16" s="849">
        <f>'Section 7 data country'!$H$14</f>
        <v>365.37099999999998</v>
      </c>
      <c r="E16" s="855">
        <f>'Section 7 data country'!$I$14</f>
        <v>12.1</v>
      </c>
      <c r="F16" s="852">
        <f t="shared" si="0"/>
        <v>586.82600000000002</v>
      </c>
    </row>
    <row r="17" spans="2:6" ht="15" customHeight="1" x14ac:dyDescent="0.2">
      <c r="B17" s="710" t="s">
        <v>291</v>
      </c>
      <c r="C17" s="848">
        <f>'Section 7 data country'!$G$15</f>
        <v>2280.712</v>
      </c>
      <c r="D17" s="849">
        <f>'Section 7 data country'!$H$15</f>
        <v>2553.5990000000002</v>
      </c>
      <c r="E17" s="855">
        <f>'Section 7 data country'!$I$15</f>
        <v>7.05</v>
      </c>
      <c r="F17" s="852">
        <f t="shared" si="0"/>
        <v>4834.3109999999997</v>
      </c>
    </row>
    <row r="18" spans="2:6" ht="15" customHeight="1" x14ac:dyDescent="0.2">
      <c r="B18" s="710" t="s">
        <v>292</v>
      </c>
      <c r="C18" s="848">
        <f>'Section 7 data country'!$G$16</f>
        <v>687.40499999999997</v>
      </c>
      <c r="D18" s="849">
        <f>'Section 7 data country'!$H$16</f>
        <v>1442.4970000000001</v>
      </c>
      <c r="E18" s="855">
        <f>'Section 7 data country'!$I$16</f>
        <v>6.44</v>
      </c>
      <c r="F18" s="852">
        <f t="shared" si="0"/>
        <v>2129.902</v>
      </c>
    </row>
    <row r="19" spans="2:6" ht="15" customHeight="1" x14ac:dyDescent="0.2">
      <c r="B19" s="710" t="s">
        <v>293</v>
      </c>
      <c r="C19" s="848">
        <f>'Section 7 data country'!$G$17</f>
        <v>84.131</v>
      </c>
      <c r="D19" s="849">
        <f>'Section 7 data country'!$H$17</f>
        <v>1566.8109999999999</v>
      </c>
      <c r="E19" s="855">
        <f>'Section 7 data country'!$I$17</f>
        <v>7.04</v>
      </c>
      <c r="F19" s="852">
        <f t="shared" si="0"/>
        <v>1650.942</v>
      </c>
    </row>
    <row r="20" spans="2:6" ht="15" customHeight="1" x14ac:dyDescent="0.2">
      <c r="B20" s="710" t="s">
        <v>294</v>
      </c>
      <c r="C20" s="848">
        <f>'Section 7 data country'!$G$18</f>
        <v>961.72400000000005</v>
      </c>
      <c r="D20" s="849">
        <f>'Section 7 data country'!$H$18</f>
        <v>2476.2080000000001</v>
      </c>
      <c r="E20" s="855">
        <f>'Section 7 data country'!$I$18</f>
        <v>8.6999999999999993</v>
      </c>
      <c r="F20" s="852">
        <f t="shared" si="0"/>
        <v>3437.9320000000002</v>
      </c>
    </row>
    <row r="21" spans="2:6" ht="15" customHeight="1" x14ac:dyDescent="0.2">
      <c r="B21" s="710" t="s">
        <v>295</v>
      </c>
      <c r="C21" s="848">
        <f>'Section 7 data country'!$G$19</f>
        <v>447.87099999999998</v>
      </c>
      <c r="D21" s="849">
        <f>'Section 7 data country'!$H$19</f>
        <v>1897.39</v>
      </c>
      <c r="E21" s="855">
        <f>'Section 7 data country'!$I$19</f>
        <v>8.01</v>
      </c>
      <c r="F21" s="852">
        <f t="shared" si="0"/>
        <v>2345.261</v>
      </c>
    </row>
    <row r="22" spans="2:6" ht="15" customHeight="1" x14ac:dyDescent="0.2">
      <c r="B22" s="714" t="s">
        <v>296</v>
      </c>
      <c r="C22" s="850">
        <f>'Section 7 data country'!$G$20</f>
        <v>807.20299999999997</v>
      </c>
      <c r="D22" s="851">
        <f>'Section 7 data country'!$H$20</f>
        <v>1819.9090000000001</v>
      </c>
      <c r="E22" s="856">
        <f>'Section 7 data country'!$I$20</f>
        <v>5.77</v>
      </c>
      <c r="F22" s="853">
        <f t="shared" si="0"/>
        <v>2627.1120000000001</v>
      </c>
    </row>
    <row r="25" spans="2:6" ht="15" customHeight="1" x14ac:dyDescent="0.2">
      <c r="B25" s="1033" t="s">
        <v>376</v>
      </c>
      <c r="C25" s="1058" t="s">
        <v>105</v>
      </c>
      <c r="D25" s="1058"/>
      <c r="E25" s="1058"/>
      <c r="F25" s="1032"/>
    </row>
    <row r="26" spans="2:6" ht="15" customHeight="1" x14ac:dyDescent="0.2">
      <c r="B26" s="1034"/>
      <c r="C26" s="704" t="s">
        <v>78</v>
      </c>
      <c r="D26" s="1059" t="s">
        <v>79</v>
      </c>
      <c r="E26" s="1059"/>
      <c r="F26" s="705" t="s">
        <v>80</v>
      </c>
    </row>
    <row r="27" spans="2:6" ht="15" customHeight="1" x14ac:dyDescent="0.2">
      <c r="B27" s="1034"/>
      <c r="C27" s="1060" t="s">
        <v>762</v>
      </c>
      <c r="D27" s="1034"/>
      <c r="E27" s="706" t="s">
        <v>82</v>
      </c>
      <c r="F27" s="705" t="s">
        <v>762</v>
      </c>
    </row>
    <row r="28" spans="2:6" ht="15" customHeight="1" x14ac:dyDescent="0.2">
      <c r="B28" s="707" t="str">
        <f>Index!$B$4</f>
        <v>England</v>
      </c>
      <c r="C28" s="847">
        <f>'Section 7 data country'!$K$6</f>
        <v>4042.6770000000001</v>
      </c>
      <c r="D28" s="208">
        <f>'Section 7 data country'!$L$6</f>
        <v>72377.625</v>
      </c>
      <c r="E28" s="854">
        <f>'Section 7 data country'!$M$6</f>
        <v>1.4751991132146667</v>
      </c>
      <c r="F28" s="210">
        <f>SUM(C28,D28)</f>
        <v>76420.301999999996</v>
      </c>
    </row>
    <row r="29" spans="2:6" ht="15" customHeight="1" x14ac:dyDescent="0.2">
      <c r="B29" s="710" t="s">
        <v>286</v>
      </c>
      <c r="C29" s="848">
        <f>'Section 7 data country'!$K$7</f>
        <v>163.25899999999999</v>
      </c>
      <c r="D29" s="849">
        <f>'Section 7 data country'!$L$7</f>
        <v>3306.3009999999999</v>
      </c>
      <c r="E29" s="855">
        <f>'Section 7 data country'!$M$7</f>
        <v>5.88</v>
      </c>
      <c r="F29" s="852">
        <f t="shared" ref="F29:F42" si="1">SUM(C29,D29)</f>
        <v>3469.56</v>
      </c>
    </row>
    <row r="30" spans="2:6" ht="15" customHeight="1" x14ac:dyDescent="0.2">
      <c r="B30" s="710" t="s">
        <v>298</v>
      </c>
      <c r="C30" s="848">
        <f>'Section 7 data country'!$K$8</f>
        <v>135.53</v>
      </c>
      <c r="D30" s="849">
        <f>'Section 7 data country'!$L$8</f>
        <v>7517.1329999999998</v>
      </c>
      <c r="E30" s="855">
        <f>'Section 7 data country'!$M$8</f>
        <v>5.27</v>
      </c>
      <c r="F30" s="852">
        <f t="shared" si="1"/>
        <v>7652.6629999999996</v>
      </c>
    </row>
    <row r="31" spans="2:6" ht="15" customHeight="1" x14ac:dyDescent="0.2">
      <c r="B31" s="710" t="s">
        <v>287</v>
      </c>
      <c r="C31" s="848">
        <f>'Section 7 data country'!$K$9</f>
        <v>249.21</v>
      </c>
      <c r="D31" s="849">
        <f>'Section 7 data country'!$L$9</f>
        <v>6568.4470000000001</v>
      </c>
      <c r="E31" s="855">
        <f>'Section 7 data country'!$M$9</f>
        <v>4.7300000000000004</v>
      </c>
      <c r="F31" s="852">
        <f t="shared" si="1"/>
        <v>6817.6570000000002</v>
      </c>
    </row>
    <row r="32" spans="2:6" ht="15" customHeight="1" x14ac:dyDescent="0.2">
      <c r="B32" s="710" t="s">
        <v>288</v>
      </c>
      <c r="C32" s="848">
        <f>'Section 7 data country'!$K$10</f>
        <v>101.471</v>
      </c>
      <c r="D32" s="849">
        <f>'Section 7 data country'!$L$10</f>
        <v>2524.58</v>
      </c>
      <c r="E32" s="855">
        <f>'Section 7 data country'!$M$10</f>
        <v>8.49</v>
      </c>
      <c r="F32" s="852">
        <f t="shared" si="1"/>
        <v>2626.0509999999999</v>
      </c>
    </row>
    <row r="33" spans="2:6" ht="15" customHeight="1" x14ac:dyDescent="0.2">
      <c r="B33" s="710" t="s">
        <v>301</v>
      </c>
      <c r="C33" s="848">
        <f>'Section 7 data country'!$K$11</f>
        <v>23.902999999999999</v>
      </c>
      <c r="D33" s="849">
        <f>'Section 7 data country'!$L$11</f>
        <v>1745.9839999999999</v>
      </c>
      <c r="E33" s="855">
        <f>'Section 7 data country'!$M$11</f>
        <v>12.82</v>
      </c>
      <c r="F33" s="852">
        <f t="shared" si="1"/>
        <v>1769.8869999999999</v>
      </c>
    </row>
    <row r="34" spans="2:6" ht="15" customHeight="1" x14ac:dyDescent="0.2">
      <c r="B34" s="710" t="s">
        <v>302</v>
      </c>
      <c r="C34" s="848">
        <f>'Section 7 data country'!$K$12</f>
        <v>26.763999999999999</v>
      </c>
      <c r="D34" s="849">
        <f>'Section 7 data country'!$L$12</f>
        <v>2360.5540000000001</v>
      </c>
      <c r="E34" s="855">
        <f>'Section 7 data country'!$M$12</f>
        <v>13.32</v>
      </c>
      <c r="F34" s="852">
        <f t="shared" si="1"/>
        <v>2387.3180000000002</v>
      </c>
    </row>
    <row r="35" spans="2:6" ht="15" customHeight="1" x14ac:dyDescent="0.2">
      <c r="B35" s="710" t="s">
        <v>303</v>
      </c>
      <c r="C35" s="848">
        <f>'Section 7 data country'!$K$13</f>
        <v>170.20099999999999</v>
      </c>
      <c r="D35" s="849">
        <f>'Section 7 data country'!$L$13</f>
        <v>7322.9719999999998</v>
      </c>
      <c r="E35" s="855">
        <f>'Section 7 data country'!$M$13</f>
        <v>4.59</v>
      </c>
      <c r="F35" s="852">
        <f t="shared" si="1"/>
        <v>7493.1729999999998</v>
      </c>
    </row>
    <row r="36" spans="2:6" ht="15" customHeight="1" x14ac:dyDescent="0.2">
      <c r="B36" s="710" t="s">
        <v>304</v>
      </c>
      <c r="C36" s="848">
        <f>'Section 7 data country'!$K$14</f>
        <v>369.92200000000003</v>
      </c>
      <c r="D36" s="849">
        <f>'Section 7 data country'!$L$14</f>
        <v>2732.7860000000001</v>
      </c>
      <c r="E36" s="855">
        <f>'Section 7 data country'!$M$14</f>
        <v>6.69</v>
      </c>
      <c r="F36" s="852">
        <f t="shared" si="1"/>
        <v>3102.7080000000001</v>
      </c>
    </row>
    <row r="37" spans="2:6" ht="15" customHeight="1" x14ac:dyDescent="0.2">
      <c r="B37" s="710" t="s">
        <v>291</v>
      </c>
      <c r="C37" s="848">
        <f>'Section 7 data country'!$K$15</f>
        <v>60.192</v>
      </c>
      <c r="D37" s="849">
        <f>'Section 7 data country'!$L$15</f>
        <v>2543.8690000000001</v>
      </c>
      <c r="E37" s="855">
        <f>'Section 7 data country'!$M$15</f>
        <v>7.13</v>
      </c>
      <c r="F37" s="852">
        <f t="shared" si="1"/>
        <v>2604.0610000000001</v>
      </c>
    </row>
    <row r="38" spans="2:6" ht="15" customHeight="1" x14ac:dyDescent="0.2">
      <c r="B38" s="710" t="s">
        <v>292</v>
      </c>
      <c r="C38" s="848">
        <f>'Section 7 data country'!$K$16</f>
        <v>1615.575</v>
      </c>
      <c r="D38" s="849">
        <f>'Section 7 data country'!$L$16</f>
        <v>7801.0069999999996</v>
      </c>
      <c r="E38" s="855">
        <f>'Section 7 data country'!$M$16</f>
        <v>3.39</v>
      </c>
      <c r="F38" s="852">
        <f t="shared" si="1"/>
        <v>9416.5820000000003</v>
      </c>
    </row>
    <row r="39" spans="2:6" ht="15" customHeight="1" x14ac:dyDescent="0.2">
      <c r="B39" s="710" t="s">
        <v>293</v>
      </c>
      <c r="C39" s="848">
        <f>'Section 7 data country'!$K$17</f>
        <v>102.79</v>
      </c>
      <c r="D39" s="849">
        <f>'Section 7 data country'!$L$17</f>
        <v>6892.7219999999998</v>
      </c>
      <c r="E39" s="855">
        <f>'Section 7 data country'!$M$17</f>
        <v>3.59</v>
      </c>
      <c r="F39" s="852">
        <f t="shared" si="1"/>
        <v>6995.5119999999997</v>
      </c>
    </row>
    <row r="40" spans="2:6" ht="15" customHeight="1" x14ac:dyDescent="0.2">
      <c r="B40" s="710" t="s">
        <v>294</v>
      </c>
      <c r="C40" s="848">
        <f>'Section 7 data country'!$K$18</f>
        <v>511.42599999999999</v>
      </c>
      <c r="D40" s="849">
        <f>'Section 7 data country'!$L$18</f>
        <v>8888.3379999999997</v>
      </c>
      <c r="E40" s="855">
        <f>'Section 7 data country'!$M$18</f>
        <v>4.88</v>
      </c>
      <c r="F40" s="852">
        <f t="shared" si="1"/>
        <v>9399.7639999999992</v>
      </c>
    </row>
    <row r="41" spans="2:6" ht="15" customHeight="1" x14ac:dyDescent="0.2">
      <c r="B41" s="710" t="s">
        <v>295</v>
      </c>
      <c r="C41" s="848">
        <f>'Section 7 data country'!$K$19</f>
        <v>356.79899999999998</v>
      </c>
      <c r="D41" s="849">
        <f>'Section 7 data country'!$L$19</f>
        <v>7241.6869999999999</v>
      </c>
      <c r="E41" s="855">
        <f>'Section 7 data country'!$M$19</f>
        <v>4.62</v>
      </c>
      <c r="F41" s="852">
        <f t="shared" si="1"/>
        <v>7598.4859999999999</v>
      </c>
    </row>
    <row r="42" spans="2:6" ht="15" customHeight="1" x14ac:dyDescent="0.2">
      <c r="B42" s="714" t="s">
        <v>296</v>
      </c>
      <c r="C42" s="850">
        <f>'Section 7 data country'!$K$20</f>
        <v>155.63499999999999</v>
      </c>
      <c r="D42" s="851">
        <f>'Section 7 data country'!$L$20</f>
        <v>4931.2449999999999</v>
      </c>
      <c r="E42" s="856">
        <f>'Section 7 data country'!$M$20</f>
        <v>4.22</v>
      </c>
      <c r="F42" s="853">
        <f t="shared" si="1"/>
        <v>5086.88</v>
      </c>
    </row>
    <row r="45" spans="2:6" ht="15" customHeight="1" x14ac:dyDescent="0.2">
      <c r="B45" s="1033" t="s">
        <v>376</v>
      </c>
      <c r="C45" s="1058" t="s">
        <v>106</v>
      </c>
      <c r="D45" s="1058"/>
      <c r="E45" s="1058"/>
      <c r="F45" s="1032"/>
    </row>
    <row r="46" spans="2:6" ht="15" customHeight="1" x14ac:dyDescent="0.2">
      <c r="B46" s="1034"/>
      <c r="C46" s="704" t="s">
        <v>78</v>
      </c>
      <c r="D46" s="1059" t="s">
        <v>79</v>
      </c>
      <c r="E46" s="1059"/>
      <c r="F46" s="705" t="s">
        <v>80</v>
      </c>
    </row>
    <row r="47" spans="2:6" ht="15" customHeight="1" x14ac:dyDescent="0.2">
      <c r="B47" s="1034"/>
      <c r="C47" s="1060" t="s">
        <v>762</v>
      </c>
      <c r="D47" s="1034"/>
      <c r="E47" s="706" t="s">
        <v>82</v>
      </c>
      <c r="F47" s="705" t="s">
        <v>762</v>
      </c>
    </row>
    <row r="48" spans="2:6" ht="15" customHeight="1" x14ac:dyDescent="0.2">
      <c r="B48" s="707" t="str">
        <f>Index!$B$4</f>
        <v>England</v>
      </c>
      <c r="C48" s="847">
        <f>'Section 7 data country'!$C$6</f>
        <v>12689.88</v>
      </c>
      <c r="D48" s="208">
        <f>'Section 7 data country'!$D$6</f>
        <v>91536.558999999994</v>
      </c>
      <c r="E48" s="854">
        <f>'Section 7 data country'!$E$6</f>
        <v>1.2306123466278243</v>
      </c>
      <c r="F48" s="210">
        <f>SUM(C48,D48)</f>
        <v>104226.439</v>
      </c>
    </row>
    <row r="49" spans="2:6" ht="15" customHeight="1" x14ac:dyDescent="0.2">
      <c r="B49" s="710" t="s">
        <v>286</v>
      </c>
      <c r="C49" s="848">
        <f>'Section 7 data country'!$C$7</f>
        <v>1084.1869999999999</v>
      </c>
      <c r="D49" s="849">
        <f>'Section 7 data country'!$D$7</f>
        <v>5131.335</v>
      </c>
      <c r="E49" s="855">
        <f>'Section 7 data country'!$E$7</f>
        <v>4.2699999999999996</v>
      </c>
      <c r="F49" s="852">
        <f t="shared" ref="F49:F62" si="2">SUM(C49,D49)</f>
        <v>6215.5219999999999</v>
      </c>
    </row>
    <row r="50" spans="2:6" ht="15" customHeight="1" x14ac:dyDescent="0.2">
      <c r="B50" s="710" t="s">
        <v>298</v>
      </c>
      <c r="C50" s="848">
        <f>'Section 7 data country'!$C$8</f>
        <v>716.51099999999997</v>
      </c>
      <c r="D50" s="849">
        <f>'Section 7 data country'!$D$8</f>
        <v>9417.15</v>
      </c>
      <c r="E50" s="855">
        <f>'Section 7 data country'!$E$8</f>
        <v>4.3899999999999997</v>
      </c>
      <c r="F50" s="852">
        <f t="shared" si="2"/>
        <v>10133.661</v>
      </c>
    </row>
    <row r="51" spans="2:6" ht="15" customHeight="1" x14ac:dyDescent="0.2">
      <c r="B51" s="710" t="s">
        <v>287</v>
      </c>
      <c r="C51" s="848">
        <f>'Section 7 data country'!$C$9</f>
        <v>1336.0809999999999</v>
      </c>
      <c r="D51" s="849">
        <f>'Section 7 data country'!$D$9</f>
        <v>7854.8249999999998</v>
      </c>
      <c r="E51" s="855">
        <f>'Section 7 data country'!$E$9</f>
        <v>3.98</v>
      </c>
      <c r="F51" s="852">
        <f t="shared" si="2"/>
        <v>9190.905999999999</v>
      </c>
    </row>
    <row r="52" spans="2:6" ht="15" customHeight="1" x14ac:dyDescent="0.2">
      <c r="B52" s="710" t="s">
        <v>288</v>
      </c>
      <c r="C52" s="848">
        <f>'Section 7 data country'!$C$10</f>
        <v>441.72</v>
      </c>
      <c r="D52" s="849">
        <f>'Section 7 data country'!$D$10</f>
        <v>3284.8690000000001</v>
      </c>
      <c r="E52" s="855">
        <f>'Section 7 data country'!$E$10</f>
        <v>6.66</v>
      </c>
      <c r="F52" s="852">
        <f t="shared" si="2"/>
        <v>3726.5889999999999</v>
      </c>
    </row>
    <row r="53" spans="2:6" ht="15" customHeight="1" x14ac:dyDescent="0.2">
      <c r="B53" s="710" t="s">
        <v>301</v>
      </c>
      <c r="C53" s="848">
        <f>'Section 7 data country'!$C$11</f>
        <v>63.929000000000002</v>
      </c>
      <c r="D53" s="849">
        <f>'Section 7 data country'!$D$11</f>
        <v>1929.6859999999999</v>
      </c>
      <c r="E53" s="855">
        <f>'Section 7 data country'!$E$11</f>
        <v>11.6</v>
      </c>
      <c r="F53" s="852">
        <f t="shared" si="2"/>
        <v>1993.615</v>
      </c>
    </row>
    <row r="54" spans="2:6" ht="15" customHeight="1" x14ac:dyDescent="0.2">
      <c r="B54" s="710" t="s">
        <v>302</v>
      </c>
      <c r="C54" s="848">
        <f>'Section 7 data country'!$C$12</f>
        <v>42.38</v>
      </c>
      <c r="D54" s="849">
        <f>'Section 7 data country'!$D$12</f>
        <v>2638.2449999999999</v>
      </c>
      <c r="E54" s="855">
        <f>'Section 7 data country'!$E$12</f>
        <v>12.02</v>
      </c>
      <c r="F54" s="852">
        <f t="shared" si="2"/>
        <v>2680.625</v>
      </c>
    </row>
    <row r="55" spans="2:6" ht="15" customHeight="1" x14ac:dyDescent="0.2">
      <c r="B55" s="710" t="s">
        <v>303</v>
      </c>
      <c r="C55" s="848">
        <f>'Section 7 data country'!$C$13</f>
        <v>342.23200000000003</v>
      </c>
      <c r="D55" s="849">
        <f>'Section 7 data country'!$D$13</f>
        <v>8167.3969999999999</v>
      </c>
      <c r="E55" s="855">
        <f>'Section 7 data country'!$E$13</f>
        <v>4.1399999999999997</v>
      </c>
      <c r="F55" s="852">
        <f t="shared" si="2"/>
        <v>8509.6290000000008</v>
      </c>
    </row>
    <row r="56" spans="2:6" ht="15" customHeight="1" x14ac:dyDescent="0.2">
      <c r="B56" s="710" t="s">
        <v>304</v>
      </c>
      <c r="C56" s="848">
        <f>'Section 7 data country'!$C$14</f>
        <v>591.37699999999995</v>
      </c>
      <c r="D56" s="849">
        <f>'Section 7 data country'!$D$14</f>
        <v>3102.527</v>
      </c>
      <c r="E56" s="855">
        <f>'Section 7 data country'!$E$14</f>
        <v>5.84</v>
      </c>
      <c r="F56" s="852">
        <f t="shared" si="2"/>
        <v>3693.904</v>
      </c>
    </row>
    <row r="57" spans="2:6" ht="15" customHeight="1" x14ac:dyDescent="0.2">
      <c r="B57" s="710" t="s">
        <v>291</v>
      </c>
      <c r="C57" s="848">
        <f>'Section 7 data country'!$C$15</f>
        <v>2340.904</v>
      </c>
      <c r="D57" s="849">
        <f>'Section 7 data country'!$D$15</f>
        <v>5103.7020000000002</v>
      </c>
      <c r="E57" s="855">
        <f>'Section 7 data country'!$E$15</f>
        <v>4.82</v>
      </c>
      <c r="F57" s="852">
        <f t="shared" si="2"/>
        <v>7444.6059999999998</v>
      </c>
    </row>
    <row r="58" spans="2:6" ht="15" customHeight="1" x14ac:dyDescent="0.2">
      <c r="B58" s="710" t="s">
        <v>292</v>
      </c>
      <c r="C58" s="848">
        <f>'Section 7 data country'!$C$16</f>
        <v>2302.98</v>
      </c>
      <c r="D58" s="849">
        <f>'Section 7 data country'!$D$16</f>
        <v>9250.0349999999999</v>
      </c>
      <c r="E58" s="855">
        <f>'Section 7 data country'!$E$16</f>
        <v>2.95</v>
      </c>
      <c r="F58" s="852">
        <f t="shared" si="2"/>
        <v>11553.014999999999</v>
      </c>
    </row>
    <row r="59" spans="2:6" ht="15" customHeight="1" x14ac:dyDescent="0.2">
      <c r="B59" s="710" t="s">
        <v>293</v>
      </c>
      <c r="C59" s="848">
        <f>'Section 7 data country'!$C$17</f>
        <v>186.92099999999999</v>
      </c>
      <c r="D59" s="849">
        <f>'Section 7 data country'!$D$17</f>
        <v>8449.7440000000006</v>
      </c>
      <c r="E59" s="855">
        <f>'Section 7 data country'!$E$17</f>
        <v>3.07</v>
      </c>
      <c r="F59" s="852">
        <f t="shared" si="2"/>
        <v>8636.6650000000009</v>
      </c>
    </row>
    <row r="60" spans="2:6" ht="15" customHeight="1" x14ac:dyDescent="0.2">
      <c r="B60" s="710" t="s">
        <v>294</v>
      </c>
      <c r="C60" s="848">
        <f>'Section 7 data country'!$C$18</f>
        <v>1473.15</v>
      </c>
      <c r="D60" s="849">
        <f>'Section 7 data country'!$D$18</f>
        <v>11334.34</v>
      </c>
      <c r="E60" s="855">
        <f>'Section 7 data country'!$E$18</f>
        <v>4.21</v>
      </c>
      <c r="F60" s="852">
        <f t="shared" si="2"/>
        <v>12807.49</v>
      </c>
    </row>
    <row r="61" spans="2:6" ht="15" customHeight="1" x14ac:dyDescent="0.2">
      <c r="B61" s="710" t="s">
        <v>295</v>
      </c>
      <c r="C61" s="848">
        <f>'Section 7 data country'!$C$19</f>
        <v>804.67</v>
      </c>
      <c r="D61" s="849">
        <f>'Section 7 data country'!$D$19</f>
        <v>9122.7270000000008</v>
      </c>
      <c r="E61" s="855">
        <f>'Section 7 data country'!$E$19</f>
        <v>3.92</v>
      </c>
      <c r="F61" s="852">
        <f t="shared" si="2"/>
        <v>9927.3970000000008</v>
      </c>
    </row>
    <row r="62" spans="2:6" ht="15" customHeight="1" x14ac:dyDescent="0.2">
      <c r="B62" s="714" t="s">
        <v>296</v>
      </c>
      <c r="C62" s="850">
        <f>'Section 7 data country'!$C$20</f>
        <v>962.83799999999997</v>
      </c>
      <c r="D62" s="851">
        <f>'Section 7 data country'!$D$20</f>
        <v>6749.9769999999999</v>
      </c>
      <c r="E62" s="856">
        <f>'Section 7 data country'!$E$20</f>
        <v>3.27</v>
      </c>
      <c r="F62" s="853">
        <f t="shared" si="2"/>
        <v>7712.8149999999996</v>
      </c>
    </row>
  </sheetData>
  <mergeCells count="12">
    <mergeCell ref="B45:B47"/>
    <mergeCell ref="C45:F45"/>
    <mergeCell ref="D46:E46"/>
    <mergeCell ref="C47:D47"/>
    <mergeCell ref="B5:B7"/>
    <mergeCell ref="C5:F5"/>
    <mergeCell ref="D6:E6"/>
    <mergeCell ref="C7:D7"/>
    <mergeCell ref="B25:B27"/>
    <mergeCell ref="C25:F25"/>
    <mergeCell ref="D26:E26"/>
    <mergeCell ref="C27:D2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C618271A-579B-4253-9108-9F448CFD1BB5}">
            <xm:f>Sheet1!$D$4</xm:f>
            <xm:f>Sheet1!$E$4</xm:f>
            <x14:dxf>
              <numFmt numFmtId="173" formatCode="&quot;&lt; 1&quot;"/>
            </x14:dxf>
          </x14:cfRule>
          <xm:sqref>A1:XFD1048576</xm:sqref>
        </x14:conditionalFormatting>
        <x14:conditionalFormatting xmlns:xm="http://schemas.microsoft.com/office/excel/2006/main">
          <x14:cfRule type="expression" priority="3" id="{1C6C7EA1-D7BC-4FE5-80C8-9CED0D9A51EB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expression" priority="2" id="{B95AC9BB-441F-4355-8EEF-E998A3A3F1BA}">
            <xm:f>IF($E28&gt;Sheet1!$F$4,1,)</xm:f>
            <x14:dxf>
              <font>
                <color rgb="FF808080"/>
              </font>
            </x14:dxf>
          </x14:cfRule>
          <xm:sqref>D28:F42</xm:sqref>
        </x14:conditionalFormatting>
        <x14:conditionalFormatting xmlns:xm="http://schemas.microsoft.com/office/excel/2006/main">
          <x14:cfRule type="expression" priority="1" id="{F707638E-66A3-40B2-99C7-2601D2536402}">
            <xm:f>IF($E48&gt;Sheet1!$F$4,1,)</xm:f>
            <x14:dxf>
              <font>
                <color rgb="FF808080"/>
              </font>
            </x14:dxf>
          </x14:cfRule>
          <xm:sqref>D48:F62</xm:sqref>
        </x14:conditionalFormatting>
      </x14:conditionalFormattings>
    </ext>
  </extLst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B3:F21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72</v>
      </c>
      <c r="C3" t="s">
        <v>76</v>
      </c>
    </row>
    <row r="4" spans="2:6" ht="15" customHeight="1" x14ac:dyDescent="0.2">
      <c r="C4" s="719"/>
    </row>
    <row r="5" spans="2:6" ht="15" customHeight="1" x14ac:dyDescent="0.2">
      <c r="B5" s="1067" t="s">
        <v>76</v>
      </c>
      <c r="C5" s="720" t="s">
        <v>78</v>
      </c>
      <c r="D5" s="1069" t="s">
        <v>79</v>
      </c>
      <c r="E5" s="1070"/>
      <c r="F5" s="721" t="s">
        <v>80</v>
      </c>
    </row>
    <row r="6" spans="2:6" ht="30" customHeight="1" x14ac:dyDescent="0.2">
      <c r="B6" s="1068"/>
      <c r="C6" s="722" t="s">
        <v>81</v>
      </c>
      <c r="D6" s="722" t="s">
        <v>81</v>
      </c>
      <c r="E6" s="12" t="s">
        <v>82</v>
      </c>
      <c r="F6" s="723" t="s">
        <v>81</v>
      </c>
    </row>
    <row r="7" spans="2:6" ht="15" customHeight="1" x14ac:dyDescent="0.2">
      <c r="B7" s="724" t="str">
        <f>Index!$B$4</f>
        <v>England</v>
      </c>
      <c r="C7" s="725">
        <f>'Section 7 data country'!$C$26</f>
        <v>8.4943399999999993</v>
      </c>
      <c r="D7" s="725">
        <f>'Section 7 data country'!$D$26</f>
        <v>9.8433299999999999</v>
      </c>
      <c r="E7" s="889">
        <f>'Section 7 data country'!$E$26</f>
        <v>12.213512707120753</v>
      </c>
      <c r="F7" s="727">
        <f>SUM(C7,D7)</f>
        <v>18.337669999999999</v>
      </c>
    </row>
    <row r="8" spans="2:6" ht="15" customHeight="1" x14ac:dyDescent="0.2">
      <c r="B8" s="728" t="s">
        <v>286</v>
      </c>
      <c r="C8" s="729">
        <f>'Section 7 data country'!$C$27</f>
        <v>1.17967</v>
      </c>
      <c r="D8" s="729">
        <f>'Section 7 data country'!$D$27</f>
        <v>1.3520699999999999</v>
      </c>
      <c r="E8" s="890">
        <f>'Section 7 data country'!$E$27</f>
        <v>31.35</v>
      </c>
      <c r="F8" s="731">
        <f t="shared" ref="F8:F21" si="0">SUM(C8,D8)</f>
        <v>2.5317400000000001</v>
      </c>
    </row>
    <row r="9" spans="2:6" ht="15" customHeight="1" x14ac:dyDescent="0.2">
      <c r="B9" s="728" t="s">
        <v>298</v>
      </c>
      <c r="C9" s="729">
        <f>'Section 7 data country'!$C$28</f>
        <v>0.57008999999999999</v>
      </c>
      <c r="D9" s="729">
        <f>'Section 7 data country'!$D$28</f>
        <v>0.81649000000000005</v>
      </c>
      <c r="E9" s="890">
        <f>'Section 7 data country'!$E$28</f>
        <v>35.89</v>
      </c>
      <c r="F9" s="731">
        <f t="shared" si="0"/>
        <v>1.3865799999999999</v>
      </c>
    </row>
    <row r="10" spans="2:6" ht="15" customHeight="1" x14ac:dyDescent="0.2">
      <c r="B10" s="728" t="s">
        <v>287</v>
      </c>
      <c r="C10" s="729">
        <f>'Section 7 data country'!$C$29</f>
        <v>0.68840000000000001</v>
      </c>
      <c r="D10" s="729">
        <f>'Section 7 data country'!$D$29</f>
        <v>0.85301000000000005</v>
      </c>
      <c r="E10" s="890">
        <f>'Section 7 data country'!$E$29</f>
        <v>50.05</v>
      </c>
      <c r="F10" s="731">
        <f t="shared" si="0"/>
        <v>1.5414099999999999</v>
      </c>
    </row>
    <row r="11" spans="2:6" ht="15" customHeight="1" x14ac:dyDescent="0.2">
      <c r="B11" s="728" t="s">
        <v>288</v>
      </c>
      <c r="C11" s="729">
        <f>'Section 7 data country'!$C$30</f>
        <v>0.33438999999999997</v>
      </c>
      <c r="D11" s="729">
        <f>'Section 7 data country'!$D$30</f>
        <v>0.29669999999999996</v>
      </c>
      <c r="E11" s="890">
        <f>'Section 7 data country'!$E$30</f>
        <v>80.790000000000006</v>
      </c>
      <c r="F11" s="731">
        <f t="shared" si="0"/>
        <v>0.63108999999999993</v>
      </c>
    </row>
    <row r="12" spans="2:6" ht="15" customHeight="1" x14ac:dyDescent="0.2">
      <c r="B12" s="728" t="s">
        <v>301</v>
      </c>
      <c r="C12" s="729">
        <f>'Section 7 data country'!$C$31</f>
        <v>1.443E-2</v>
      </c>
      <c r="D12" s="729">
        <f>'Section 7 data country'!$D$31</f>
        <v>3.2640000000000002E-2</v>
      </c>
      <c r="E12" s="890">
        <f>'Section 7 data country'!$E$31</f>
        <v>93.36</v>
      </c>
      <c r="F12" s="731">
        <f>SUM(C12,D12)</f>
        <v>4.7070000000000001E-2</v>
      </c>
    </row>
    <row r="13" spans="2:6" ht="15" customHeight="1" x14ac:dyDescent="0.2">
      <c r="B13" s="728" t="s">
        <v>302</v>
      </c>
      <c r="C13" s="729">
        <f>'Section 7 data country'!$C$32</f>
        <v>3.6900000000000001E-3</v>
      </c>
      <c r="D13" s="729">
        <f>'Section 7 data country'!$D$32</f>
        <v>0.11069</v>
      </c>
      <c r="E13" s="890">
        <f>'Section 7 data country'!$E$32</f>
        <v>80.53</v>
      </c>
      <c r="F13" s="731">
        <f t="shared" si="0"/>
        <v>0.11438</v>
      </c>
    </row>
    <row r="14" spans="2:6" ht="15" customHeight="1" x14ac:dyDescent="0.2">
      <c r="B14" s="728" t="s">
        <v>303</v>
      </c>
      <c r="C14" s="729">
        <f>'Section 7 data country'!$C$33</f>
        <v>6.0729999999999999E-2</v>
      </c>
      <c r="D14" s="729">
        <f>'Section 7 data country'!$D$33</f>
        <v>0.78816999999999993</v>
      </c>
      <c r="E14" s="890">
        <f>'Section 7 data country'!$E$33</f>
        <v>49.05</v>
      </c>
      <c r="F14" s="731">
        <f t="shared" si="0"/>
        <v>0.84889999999999988</v>
      </c>
    </row>
    <row r="15" spans="2:6" ht="15" customHeight="1" x14ac:dyDescent="0.2">
      <c r="B15" s="728" t="s">
        <v>304</v>
      </c>
      <c r="C15" s="729">
        <f>'Section 7 data country'!$C$34</f>
        <v>0.19596</v>
      </c>
      <c r="D15" s="729">
        <f>'Section 7 data country'!$D$34</f>
        <v>0.19735</v>
      </c>
      <c r="E15" s="890">
        <f>'Section 7 data country'!$E$34</f>
        <v>51.52</v>
      </c>
      <c r="F15" s="731">
        <f t="shared" si="0"/>
        <v>0.39330999999999999</v>
      </c>
    </row>
    <row r="16" spans="2:6" ht="15" customHeight="1" x14ac:dyDescent="0.2">
      <c r="B16" s="728" t="s">
        <v>291</v>
      </c>
      <c r="C16" s="729">
        <f>'Section 7 data country'!$C$35</f>
        <v>2.3097399999999997</v>
      </c>
      <c r="D16" s="729">
        <f>'Section 7 data country'!$D$35</f>
        <v>1.63391</v>
      </c>
      <c r="E16" s="890">
        <f>'Section 7 data country'!$E$35</f>
        <v>37.630000000000003</v>
      </c>
      <c r="F16" s="731">
        <f t="shared" si="0"/>
        <v>3.9436499999999999</v>
      </c>
    </row>
    <row r="17" spans="2:6" ht="15" customHeight="1" x14ac:dyDescent="0.2">
      <c r="B17" s="728" t="s">
        <v>292</v>
      </c>
      <c r="C17" s="729">
        <f>'Section 7 data country'!$C$36</f>
        <v>0.54664999999999997</v>
      </c>
      <c r="D17" s="729">
        <f>'Section 7 data country'!$D$36</f>
        <v>0.54794000000000009</v>
      </c>
      <c r="E17" s="890">
        <f>'Section 7 data country'!$E$36</f>
        <v>37.29</v>
      </c>
      <c r="F17" s="731">
        <f t="shared" si="0"/>
        <v>1.0945900000000002</v>
      </c>
    </row>
    <row r="18" spans="2:6" ht="15" customHeight="1" x14ac:dyDescent="0.2">
      <c r="B18" s="728" t="s">
        <v>293</v>
      </c>
      <c r="C18" s="729">
        <f>'Section 7 data country'!$C$37</f>
        <v>0.21093999999999999</v>
      </c>
      <c r="D18" s="729">
        <f>'Section 7 data country'!$D$37</f>
        <v>0.76591999999999993</v>
      </c>
      <c r="E18" s="890">
        <f>'Section 7 data country'!$E$37</f>
        <v>44.86</v>
      </c>
      <c r="F18" s="731">
        <f t="shared" si="0"/>
        <v>0.97685999999999995</v>
      </c>
    </row>
    <row r="19" spans="2:6" ht="15" customHeight="1" x14ac:dyDescent="0.2">
      <c r="B19" s="728" t="s">
        <v>294</v>
      </c>
      <c r="C19" s="729">
        <f>'Section 7 data country'!$C$38</f>
        <v>0.21414</v>
      </c>
      <c r="D19" s="729">
        <f>'Section 7 data country'!$D$38</f>
        <v>0.41102</v>
      </c>
      <c r="E19" s="890">
        <f>'Section 7 data country'!$E$38</f>
        <v>42.96</v>
      </c>
      <c r="F19" s="731">
        <f t="shared" si="0"/>
        <v>0.62515999999999994</v>
      </c>
    </row>
    <row r="20" spans="2:6" ht="15" customHeight="1" x14ac:dyDescent="0.2">
      <c r="B20" s="728" t="s">
        <v>295</v>
      </c>
      <c r="C20" s="729">
        <f>'Section 7 data country'!$C$39</f>
        <v>0.92698000000000003</v>
      </c>
      <c r="D20" s="729">
        <f>'Section 7 data country'!$D$39</f>
        <v>0.36718000000000001</v>
      </c>
      <c r="E20" s="890">
        <f>'Section 7 data country'!$E$39</f>
        <v>47.47</v>
      </c>
      <c r="F20" s="731">
        <f t="shared" si="0"/>
        <v>1.29416</v>
      </c>
    </row>
    <row r="21" spans="2:6" ht="15" customHeight="1" x14ac:dyDescent="0.2">
      <c r="B21" s="728" t="s">
        <v>296</v>
      </c>
      <c r="C21" s="729">
        <f>'Section 7 data country'!$C$40</f>
        <v>1.2385299999999999</v>
      </c>
      <c r="D21" s="729">
        <f>'Section 7 data country'!$D$40</f>
        <v>1.6702399999999999</v>
      </c>
      <c r="E21" s="890">
        <f>'Section 7 data country'!$E$40</f>
        <v>24.83</v>
      </c>
      <c r="F21" s="731">
        <f t="shared" si="0"/>
        <v>2.9087699999999996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26B807DE-33DB-410A-BA36-A81585FDB56F}">
            <xm:f>Sheet1!$D$4</xm:f>
            <xm:f>Sheet1!$E$4</xm:f>
            <x14:dxf>
              <numFmt numFmtId="173" formatCode="&quot;&lt; 1&quot;"/>
            </x14:dxf>
          </x14:cfRule>
          <xm:sqref>C7:F21</xm:sqref>
        </x14:conditionalFormatting>
        <x14:conditionalFormatting xmlns:xm="http://schemas.microsoft.com/office/excel/2006/main">
          <x14:cfRule type="expression" priority="1" id="{B35DE850-A614-49C3-A9F8-F719750CAA77}">
            <xm:f>IF($E7&gt;Sheet1!$F$4,1,)</xm:f>
            <x14:dxf>
              <font>
                <color rgb="FF808080"/>
              </font>
            </x14:dxf>
          </x14:cfRule>
          <xm:sqref>D7:F21</xm:sqref>
        </x14:conditionalFormatting>
      </x14:conditionalFormatting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762</v>
      </c>
      <c r="D5" s="654" t="s">
        <v>762</v>
      </c>
      <c r="E5" s="655" t="s">
        <v>82</v>
      </c>
      <c r="F5" s="654" t="s">
        <v>762</v>
      </c>
      <c r="G5" s="654" t="s">
        <v>762</v>
      </c>
      <c r="H5" s="654" t="s">
        <v>762</v>
      </c>
      <c r="I5" s="655" t="s">
        <v>82</v>
      </c>
      <c r="J5" s="654" t="s">
        <v>762</v>
      </c>
      <c r="K5" s="654" t="s">
        <v>762</v>
      </c>
      <c r="L5" s="654" t="s">
        <v>762</v>
      </c>
      <c r="M5" s="655" t="s">
        <v>82</v>
      </c>
      <c r="N5" s="654" t="s">
        <v>762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">
        <v>721</v>
      </c>
      <c r="C6" s="660">
        <v>12689.88</v>
      </c>
      <c r="D6" s="661">
        <v>91536.558999999994</v>
      </c>
      <c r="E6" s="662">
        <v>1.2306123466278243</v>
      </c>
      <c r="F6" s="663">
        <f>C6+D6</f>
        <v>104226.439</v>
      </c>
      <c r="G6" s="660">
        <v>8647.2039999999997</v>
      </c>
      <c r="H6" s="661">
        <v>19182.116999999998</v>
      </c>
      <c r="I6" s="662">
        <v>2.3163705555550931</v>
      </c>
      <c r="J6" s="663">
        <f>G6+H6</f>
        <v>27829.320999999996</v>
      </c>
      <c r="K6" s="664">
        <v>4042.6770000000001</v>
      </c>
      <c r="L6" s="661">
        <v>72377.625</v>
      </c>
      <c r="M6" s="662">
        <v>1.4751991132146667</v>
      </c>
      <c r="N6" s="663">
        <f>K6+L6</f>
        <v>76420.301999999996</v>
      </c>
      <c r="P6" s="665">
        <f>D6*E6/100</f>
        <v>1126.4601967322628</v>
      </c>
      <c r="Q6" s="472">
        <f>H6*I6/100</f>
        <v>444.32891012012789</v>
      </c>
      <c r="R6" s="666">
        <f>L6*M6/100</f>
        <v>1067.7140821658368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669">
        <v>1084.1869999999999</v>
      </c>
      <c r="D7" s="670">
        <v>5131.335</v>
      </c>
      <c r="E7" s="671">
        <v>4.2699999999999996</v>
      </c>
      <c r="F7" s="663">
        <f>C7+D7</f>
        <v>6215.5219999999999</v>
      </c>
      <c r="G7" s="669">
        <v>920.92899999999997</v>
      </c>
      <c r="H7" s="670">
        <v>1820.877</v>
      </c>
      <c r="I7" s="671">
        <v>6.86</v>
      </c>
      <c r="J7" s="663">
        <f>G7+H7</f>
        <v>2741.806</v>
      </c>
      <c r="K7" s="672">
        <v>163.25899999999999</v>
      </c>
      <c r="L7" s="670">
        <v>3306.3009999999999</v>
      </c>
      <c r="M7" s="671">
        <v>5.88</v>
      </c>
      <c r="N7" s="663">
        <f>K7+L7</f>
        <v>3469.56</v>
      </c>
      <c r="P7" s="665">
        <f>D7*E7/100</f>
        <v>219.10800449999999</v>
      </c>
      <c r="Q7" s="472">
        <f t="shared" ref="Q7:Q20" si="0">H7*I7/100</f>
        <v>124.9121622</v>
      </c>
      <c r="R7" s="666">
        <f t="shared" ref="R7:R20" si="1">L7*M7/100</f>
        <v>194.4104988</v>
      </c>
      <c r="U7" s="668" t="str">
        <f>INDEX($B$7:$N$20,MATCH(1,$F$47:$F$60,FALSE),1)</f>
        <v>Wessex</v>
      </c>
      <c r="V7" s="673">
        <f>INDEX($B$7:$N$20,MATCH(1,$F$47:$F$60,FALSE),2)</f>
        <v>1473.15</v>
      </c>
      <c r="W7" s="674">
        <f>INDEX($B$7:$N$20,MATCH(1,$F$47:$F$60,FALSE),3)</f>
        <v>11334.34</v>
      </c>
      <c r="X7" s="675">
        <f>INDEX($B$7:$N$20,MATCH(1,$F$47:$F$60,FALSE),4)</f>
        <v>4.21</v>
      </c>
      <c r="Y7" s="663">
        <f>INDEX($B$7:$N$20,MATCH(1,$F$47:$F$60,FALSE),5)</f>
        <v>12807.49</v>
      </c>
      <c r="Z7" s="673">
        <f>INDEX($B$7:$N$20,MATCH(1,$F$47:$F$60,FALSE),6)</f>
        <v>961.72400000000005</v>
      </c>
      <c r="AA7" s="674">
        <f>INDEX($B$7:$N$20,MATCH(1,$F$47:$F$60,FALSE),7)</f>
        <v>2476.2080000000001</v>
      </c>
      <c r="AB7" s="675">
        <f>INDEX($B$7:$N$20,MATCH(1,$F$47:$F$60,FALSE),8)</f>
        <v>8.6999999999999993</v>
      </c>
      <c r="AC7" s="663">
        <f>INDEX($B$7:$N$20,MATCH(1,$F$47:$F$60,FALSE),9)</f>
        <v>3437.9320000000002</v>
      </c>
      <c r="AD7" s="676">
        <f>INDEX($B$7:$N$20,MATCH(1,$F$47:$F$60,FALSE),10)</f>
        <v>511.42599999999999</v>
      </c>
      <c r="AE7" s="674">
        <f>INDEX($B$7:$N$20,MATCH(1,$F$47:$F$60,FALSE),11)</f>
        <v>8888.3379999999997</v>
      </c>
      <c r="AF7" s="675">
        <f>INDEX($B$7:$N$20,MATCH(1,$F$47:$F$60,FALSE),12)</f>
        <v>4.88</v>
      </c>
      <c r="AG7" s="663">
        <f>INDEX($B$7:$N$20,MATCH(1,$F$47:$F$60,FALSE),13)</f>
        <v>9399.7639999999992</v>
      </c>
      <c r="AI7" s="665">
        <f>W7*X7/100</f>
        <v>477.17571400000003</v>
      </c>
      <c r="AJ7" s="472">
        <f t="shared" ref="AJ7:AJ20" si="2">AA7*AB7/100</f>
        <v>215.43009599999996</v>
      </c>
      <c r="AK7" s="666">
        <f t="shared" ref="AK7:AK20" si="3">AE7*AF7/100</f>
        <v>433.75089439999994</v>
      </c>
    </row>
    <row r="8" spans="2:37" ht="15" customHeight="1" x14ac:dyDescent="0.2">
      <c r="B8" s="668" t="s">
        <v>307</v>
      </c>
      <c r="C8" s="669">
        <v>716.51099999999997</v>
      </c>
      <c r="D8" s="670">
        <v>9417.15</v>
      </c>
      <c r="E8" s="671">
        <v>4.3899999999999997</v>
      </c>
      <c r="F8" s="663">
        <f t="shared" ref="F8:F20" si="4">C8+D8</f>
        <v>10133.661</v>
      </c>
      <c r="G8" s="669">
        <v>580.98</v>
      </c>
      <c r="H8" s="670">
        <v>1891.3689999999999</v>
      </c>
      <c r="I8" s="671">
        <v>6.76</v>
      </c>
      <c r="J8" s="663">
        <f t="shared" ref="J8:J20" si="5">G8+H8</f>
        <v>2472.3490000000002</v>
      </c>
      <c r="K8" s="672">
        <v>135.53</v>
      </c>
      <c r="L8" s="670">
        <v>7517.1329999999998</v>
      </c>
      <c r="M8" s="671">
        <v>5.27</v>
      </c>
      <c r="N8" s="663">
        <f t="shared" ref="N8:N20" si="6">K8+L8</f>
        <v>7652.6629999999996</v>
      </c>
      <c r="P8" s="665">
        <f t="shared" ref="P8:P20" si="7">D8*E8/100</f>
        <v>413.41288499999996</v>
      </c>
      <c r="Q8" s="472">
        <f t="shared" si="0"/>
        <v>127.85654439999999</v>
      </c>
      <c r="R8" s="666">
        <f t="shared" si="1"/>
        <v>396.15290909999999</v>
      </c>
      <c r="U8" s="668" t="str">
        <f>INDEX($B$7:$N$20,MATCH(2,$F$47:$F$60,FALSE),1)</f>
        <v>Solent and South Downs</v>
      </c>
      <c r="V8" s="673">
        <f>INDEX($B$7:$N$20,MATCH(2,$F$47:$F$60,FALSE),2)</f>
        <v>2302.98</v>
      </c>
      <c r="W8" s="674">
        <f>INDEX($B$7:$N$20,MATCH(2,$F$47:$F$60,FALSE),3)</f>
        <v>9250.0349999999999</v>
      </c>
      <c r="X8" s="675">
        <f>INDEX($B$7:$N$20,MATCH(2,$F$47:$F$60,FALSE),4)</f>
        <v>2.95</v>
      </c>
      <c r="Y8" s="663">
        <f>INDEX($B$7:$N$20,MATCH(2,$F$47:$F$60,FALSE),5)</f>
        <v>11553.014999999999</v>
      </c>
      <c r="Z8" s="673">
        <f>INDEX($B$7:$N$20,MATCH(2,$F$47:$F$60,FALSE),6)</f>
        <v>687.40499999999997</v>
      </c>
      <c r="AA8" s="674">
        <f>INDEX($B$7:$N$20,MATCH(2,$F$47:$F$60,FALSE),7)</f>
        <v>1442.4970000000001</v>
      </c>
      <c r="AB8" s="675">
        <f>INDEX($B$7:$N$20,MATCH(2,$F$47:$F$60,FALSE),8)</f>
        <v>6.44</v>
      </c>
      <c r="AC8" s="663">
        <f>INDEX($B$7:$N$20,MATCH(2,$F$47:$F$60,FALSE),9)</f>
        <v>2129.902</v>
      </c>
      <c r="AD8" s="676">
        <f>INDEX($B$7:$N$20,MATCH(2,$F$47:$F$60,FALSE),10)</f>
        <v>1615.575</v>
      </c>
      <c r="AE8" s="674">
        <f>INDEX($B$7:$N$20,MATCH(2,$F$47:$F$60,FALSE),11)</f>
        <v>7801.0069999999996</v>
      </c>
      <c r="AF8" s="675">
        <f>INDEX($B$7:$N$20,MATCH(2,$F$47:$F$60,FALSE),12)</f>
        <v>3.39</v>
      </c>
      <c r="AG8" s="663">
        <f>INDEX($B$7:$N$20,MATCH(2,$F$47:$F$60,FALSE),13)</f>
        <v>9416.5820000000003</v>
      </c>
      <c r="AI8" s="665">
        <f t="shared" ref="AI8:AI20" si="8">W8*X8/100</f>
        <v>272.87603250000001</v>
      </c>
      <c r="AJ8" s="472">
        <f t="shared" si="2"/>
        <v>92.896806800000007</v>
      </c>
      <c r="AK8" s="666">
        <f t="shared" si="3"/>
        <v>264.45413730000001</v>
      </c>
    </row>
    <row r="9" spans="2:37" ht="15" customHeight="1" x14ac:dyDescent="0.2">
      <c r="B9" s="668" t="s">
        <v>287</v>
      </c>
      <c r="C9" s="669">
        <v>1336.0809999999999</v>
      </c>
      <c r="D9" s="670">
        <v>7854.8249999999998</v>
      </c>
      <c r="E9" s="671">
        <v>3.98</v>
      </c>
      <c r="F9" s="663">
        <f t="shared" si="4"/>
        <v>9190.905999999999</v>
      </c>
      <c r="G9" s="669">
        <v>1086.8710000000001</v>
      </c>
      <c r="H9" s="670">
        <v>1284.0039999999999</v>
      </c>
      <c r="I9" s="671">
        <v>7.75</v>
      </c>
      <c r="J9" s="663">
        <f t="shared" si="5"/>
        <v>2370.875</v>
      </c>
      <c r="K9" s="672">
        <v>249.21</v>
      </c>
      <c r="L9" s="670">
        <v>6568.4470000000001</v>
      </c>
      <c r="M9" s="671">
        <v>4.7300000000000004</v>
      </c>
      <c r="N9" s="663">
        <f t="shared" si="6"/>
        <v>6817.6570000000002</v>
      </c>
      <c r="P9" s="665">
        <f t="shared" si="7"/>
        <v>312.62203499999998</v>
      </c>
      <c r="Q9" s="472">
        <f t="shared" si="0"/>
        <v>99.51030999999999</v>
      </c>
      <c r="R9" s="666">
        <f t="shared" si="1"/>
        <v>310.68754310000003</v>
      </c>
      <c r="U9" s="668" t="str">
        <f>INDEX($B$7:$N$20,MATCH(3,$F$47:$F$60,FALSE),1)</f>
        <v>Devon Cornwall and the Isles of Scilly</v>
      </c>
      <c r="V9" s="673">
        <f>INDEX($B$7:$N$20,MATCH(3,$F$47:$F$60,FALSE),2)</f>
        <v>716.51099999999997</v>
      </c>
      <c r="W9" s="674">
        <f>INDEX($B$7:$N$20,MATCH(3,$F$47:$F$60,FALSE),3)</f>
        <v>9417.15</v>
      </c>
      <c r="X9" s="675">
        <f>INDEX($B$7:$N$20,MATCH(3,$F$47:$F$60,FALSE),4)</f>
        <v>4.3899999999999997</v>
      </c>
      <c r="Y9" s="663">
        <f>INDEX($B$7:$N$20,MATCH(3,$F$47:$F$60,FALSE),5)</f>
        <v>10133.661</v>
      </c>
      <c r="Z9" s="673">
        <f>INDEX($B$7:$N$20,MATCH(3,$F$47:$F$60,FALSE),6)</f>
        <v>580.98</v>
      </c>
      <c r="AA9" s="674">
        <f>INDEX($B$7:$N$20,MATCH(3,$F$47:$F$60,FALSE),7)</f>
        <v>1891.3689999999999</v>
      </c>
      <c r="AB9" s="675">
        <f>INDEX($B$7:$N$20,MATCH(3,$F$47:$F$60,FALSE),8)</f>
        <v>6.76</v>
      </c>
      <c r="AC9" s="663">
        <f>INDEX($B$7:$N$20,MATCH(3,$F$47:$F$60,FALSE),9)</f>
        <v>2472.3490000000002</v>
      </c>
      <c r="AD9" s="676">
        <f>INDEX($B$7:$N$20,MATCH(3,$F$47:$F$60,FALSE),10)</f>
        <v>135.53</v>
      </c>
      <c r="AE9" s="674">
        <f>INDEX($B$7:$N$20,MATCH(3,$F$47:$F$60,FALSE),11)</f>
        <v>7517.1329999999998</v>
      </c>
      <c r="AF9" s="675">
        <f>INDEX($B$7:$N$20,MATCH(3,$F$47:$F$60,FALSE),12)</f>
        <v>5.27</v>
      </c>
      <c r="AG9" s="663">
        <f>INDEX($B$7:$N$20,MATCH(3,$F$47:$F$60,FALSE),13)</f>
        <v>7652.6629999999996</v>
      </c>
      <c r="AI9" s="665">
        <f t="shared" si="8"/>
        <v>413.41288499999996</v>
      </c>
      <c r="AJ9" s="472">
        <f t="shared" si="2"/>
        <v>127.85654439999999</v>
      </c>
      <c r="AK9" s="666">
        <f t="shared" si="3"/>
        <v>396.15290909999999</v>
      </c>
    </row>
    <row r="10" spans="2:37" ht="15" customHeight="1" x14ac:dyDescent="0.2">
      <c r="B10" s="668" t="s">
        <v>288</v>
      </c>
      <c r="C10" s="669">
        <v>441.72</v>
      </c>
      <c r="D10" s="670">
        <v>3284.8690000000001</v>
      </c>
      <c r="E10" s="671">
        <v>6.66</v>
      </c>
      <c r="F10" s="663">
        <f t="shared" si="4"/>
        <v>3726.5889999999999</v>
      </c>
      <c r="G10" s="669">
        <v>340.25</v>
      </c>
      <c r="H10" s="670">
        <v>760.28899999999999</v>
      </c>
      <c r="I10" s="671">
        <v>12.99</v>
      </c>
      <c r="J10" s="663">
        <f t="shared" si="5"/>
        <v>1100.539</v>
      </c>
      <c r="K10" s="672">
        <v>101.471</v>
      </c>
      <c r="L10" s="670">
        <v>2524.58</v>
      </c>
      <c r="M10" s="671">
        <v>8.49</v>
      </c>
      <c r="N10" s="663">
        <f t="shared" si="6"/>
        <v>2626.0509999999999</v>
      </c>
      <c r="P10" s="665">
        <f t="shared" si="7"/>
        <v>218.77227540000001</v>
      </c>
      <c r="Q10" s="472">
        <f t="shared" si="0"/>
        <v>98.761541099999988</v>
      </c>
      <c r="R10" s="666">
        <f t="shared" si="1"/>
        <v>214.33684199999999</v>
      </c>
      <c r="U10" s="668" t="str">
        <f>INDEX($B$7:$N$20,MATCH(4,$F$47:$F$60,FALSE),1)</f>
        <v>West Midlands</v>
      </c>
      <c r="V10" s="673">
        <f>INDEX($B$7:$N$20,MATCH(4,$F$47:$F$60,FALSE),2)</f>
        <v>804.67</v>
      </c>
      <c r="W10" s="674">
        <f>INDEX($B$7:$N$20,MATCH(4,$F$47:$F$60,FALSE),3)</f>
        <v>9122.7270000000008</v>
      </c>
      <c r="X10" s="675">
        <f>INDEX($B$7:$N$20,MATCH(4,$F$47:$F$60,FALSE),4)</f>
        <v>3.92</v>
      </c>
      <c r="Y10" s="663">
        <f>INDEX($B$7:$N$20,MATCH(4,$F$47:$F$60,FALSE),5)</f>
        <v>9927.3970000000008</v>
      </c>
      <c r="Z10" s="673">
        <f>INDEX($B$7:$N$20,MATCH(4,$F$47:$F$60,FALSE),6)</f>
        <v>447.87099999999998</v>
      </c>
      <c r="AA10" s="674">
        <f>INDEX($B$7:$N$20,MATCH(4,$F$47:$F$60,FALSE),7)</f>
        <v>1897.39</v>
      </c>
      <c r="AB10" s="675">
        <f>INDEX($B$7:$N$20,MATCH(4,$F$47:$F$60,FALSE),8)</f>
        <v>8.01</v>
      </c>
      <c r="AC10" s="663">
        <f>INDEX($B$7:$N$20,MATCH(4,$F$47:$F$60,FALSE),9)</f>
        <v>2345.261</v>
      </c>
      <c r="AD10" s="676">
        <f>INDEX($B$7:$N$20,MATCH(4,$F$47:$F$60,FALSE),10)</f>
        <v>356.79899999999998</v>
      </c>
      <c r="AE10" s="674">
        <f>INDEX($B$7:$N$20,MATCH(4,$F$47:$F$60,FALSE),11)</f>
        <v>7241.6869999999999</v>
      </c>
      <c r="AF10" s="675">
        <f>INDEX($B$7:$N$20,MATCH(4,$F$47:$F$60,FALSE),12)</f>
        <v>4.62</v>
      </c>
      <c r="AG10" s="663">
        <f>INDEX($B$7:$N$20,MATCH(4,$F$47:$F$60,FALSE),13)</f>
        <v>7598.4859999999999</v>
      </c>
      <c r="AI10" s="665">
        <f t="shared" si="8"/>
        <v>357.6108984</v>
      </c>
      <c r="AJ10" s="472">
        <f t="shared" si="2"/>
        <v>151.98093900000001</v>
      </c>
      <c r="AK10" s="666">
        <f t="shared" si="3"/>
        <v>334.56593939999999</v>
      </c>
    </row>
    <row r="11" spans="2:37" ht="15" customHeight="1" x14ac:dyDescent="0.2">
      <c r="B11" s="668" t="s">
        <v>305</v>
      </c>
      <c r="C11" s="669">
        <v>63.929000000000002</v>
      </c>
      <c r="D11" s="670">
        <v>1929.6859999999999</v>
      </c>
      <c r="E11" s="671">
        <v>11.6</v>
      </c>
      <c r="F11" s="663">
        <f t="shared" si="4"/>
        <v>1993.615</v>
      </c>
      <c r="G11" s="669">
        <v>40.026000000000003</v>
      </c>
      <c r="H11" s="670">
        <v>183.703</v>
      </c>
      <c r="I11" s="671">
        <v>17.97</v>
      </c>
      <c r="J11" s="663">
        <f t="shared" si="5"/>
        <v>223.72900000000001</v>
      </c>
      <c r="K11" s="672">
        <v>23.902999999999999</v>
      </c>
      <c r="L11" s="670">
        <v>1745.9839999999999</v>
      </c>
      <c r="M11" s="671">
        <v>12.82</v>
      </c>
      <c r="N11" s="663">
        <f t="shared" si="6"/>
        <v>1769.8869999999999</v>
      </c>
      <c r="P11" s="665">
        <f t="shared" si="7"/>
        <v>223.84357599999998</v>
      </c>
      <c r="Q11" s="472">
        <f t="shared" si="0"/>
        <v>33.011429100000001</v>
      </c>
      <c r="R11" s="666">
        <f t="shared" si="1"/>
        <v>223.83514879999998</v>
      </c>
      <c r="U11" s="668" t="str">
        <f>INDEX($B$7:$N$20,MATCH(5,$F$47:$F$60,FALSE),1)</f>
        <v>East Anglia</v>
      </c>
      <c r="V11" s="673">
        <f>INDEX($B$7:$N$20,MATCH(5,$F$47:$F$60,FALSE),2)</f>
        <v>1336.0809999999999</v>
      </c>
      <c r="W11" s="674">
        <f>INDEX($B$7:$N$20,MATCH(5,$F$47:$F$60,FALSE),3)</f>
        <v>7854.8249999999998</v>
      </c>
      <c r="X11" s="675">
        <f>INDEX($B$7:$N$20,MATCH(5,$F$47:$F$60,FALSE),4)</f>
        <v>3.98</v>
      </c>
      <c r="Y11" s="663">
        <f>INDEX($B$7:$N$20,MATCH(5,$F$47:$F$60,FALSE),5)</f>
        <v>9190.905999999999</v>
      </c>
      <c r="Z11" s="673">
        <f>INDEX($B$7:$N$20,MATCH(5,$F$47:$F$60,FALSE),6)</f>
        <v>1086.8710000000001</v>
      </c>
      <c r="AA11" s="674">
        <f>INDEX($B$7:$N$20,MATCH(5,$F$47:$F$60,FALSE),7)</f>
        <v>1284.0039999999999</v>
      </c>
      <c r="AB11" s="675">
        <f>INDEX($B$7:$N$20,MATCH(5,$F$47:$F$60,FALSE),8)</f>
        <v>7.75</v>
      </c>
      <c r="AC11" s="663">
        <f>INDEX($B$7:$N$20,MATCH(5,$F$47:$F$60,FALSE),9)</f>
        <v>2370.875</v>
      </c>
      <c r="AD11" s="676">
        <f>INDEX($B$7:$N$20,MATCH(5,$F$47:$F$60,FALSE),10)</f>
        <v>249.21</v>
      </c>
      <c r="AE11" s="674">
        <f>INDEX($B$7:$N$20,MATCH(5,$F$47:$F$60,FALSE),11)</f>
        <v>6568.4470000000001</v>
      </c>
      <c r="AF11" s="675">
        <f>INDEX($B$7:$N$20,MATCH(5,$F$47:$F$60,FALSE),12)</f>
        <v>4.7300000000000004</v>
      </c>
      <c r="AG11" s="663">
        <f>INDEX($B$7:$N$20,MATCH(5,$F$47:$F$60,FALSE),13)</f>
        <v>6817.6570000000002</v>
      </c>
      <c r="AI11" s="665">
        <f t="shared" si="8"/>
        <v>312.62203499999998</v>
      </c>
      <c r="AJ11" s="472">
        <f t="shared" si="2"/>
        <v>99.51030999999999</v>
      </c>
      <c r="AK11" s="666">
        <f t="shared" si="3"/>
        <v>310.68754310000003</v>
      </c>
    </row>
    <row r="12" spans="2:37" ht="15" customHeight="1" x14ac:dyDescent="0.2">
      <c r="B12" s="668" t="s">
        <v>289</v>
      </c>
      <c r="C12" s="669">
        <v>42.38</v>
      </c>
      <c r="D12" s="670">
        <v>2638.2449999999999</v>
      </c>
      <c r="E12" s="671">
        <v>12.02</v>
      </c>
      <c r="F12" s="663">
        <f t="shared" si="4"/>
        <v>2680.625</v>
      </c>
      <c r="G12" s="669">
        <v>15.616</v>
      </c>
      <c r="H12" s="670">
        <v>277.69099999999997</v>
      </c>
      <c r="I12" s="671">
        <v>17.23</v>
      </c>
      <c r="J12" s="663">
        <f t="shared" si="5"/>
        <v>293.30699999999996</v>
      </c>
      <c r="K12" s="672">
        <v>26.763999999999999</v>
      </c>
      <c r="L12" s="670">
        <v>2360.5540000000001</v>
      </c>
      <c r="M12" s="671">
        <v>13.32</v>
      </c>
      <c r="N12" s="663">
        <f t="shared" si="6"/>
        <v>2387.3180000000002</v>
      </c>
      <c r="P12" s="665">
        <f t="shared" si="7"/>
        <v>317.11704899999995</v>
      </c>
      <c r="Q12" s="472">
        <f t="shared" si="0"/>
        <v>47.846159299999997</v>
      </c>
      <c r="R12" s="666">
        <f t="shared" si="1"/>
        <v>314.42579280000001</v>
      </c>
      <c r="U12" s="668" t="str">
        <f>INDEX($B$7:$N$20,MATCH(6,$F$47:$F$60,FALSE),1)</f>
        <v>Thames</v>
      </c>
      <c r="V12" s="673">
        <f>INDEX($B$7:$N$20,MATCH(6,$F$47:$F$60,FALSE),2)</f>
        <v>186.92099999999999</v>
      </c>
      <c r="W12" s="674">
        <f>INDEX($B$7:$N$20,MATCH(6,$F$47:$F$60,FALSE),3)</f>
        <v>8449.7440000000006</v>
      </c>
      <c r="X12" s="675">
        <f>INDEX($B$7:$N$20,MATCH(6,$F$47:$F$60,FALSE),4)</f>
        <v>3.07</v>
      </c>
      <c r="Y12" s="663">
        <f>INDEX($B$7:$N$20,MATCH(6,$F$47:$F$60,FALSE),5)</f>
        <v>8636.6650000000009</v>
      </c>
      <c r="Z12" s="673">
        <f>INDEX($B$7:$N$20,MATCH(6,$F$47:$F$60,FALSE),6)</f>
        <v>84.131</v>
      </c>
      <c r="AA12" s="674">
        <f>INDEX($B$7:$N$20,MATCH(6,$F$47:$F$60,FALSE),7)</f>
        <v>1566.8109999999999</v>
      </c>
      <c r="AB12" s="675">
        <f>INDEX($B$7:$N$20,MATCH(6,$F$47:$F$60,FALSE),8)</f>
        <v>7.04</v>
      </c>
      <c r="AC12" s="663">
        <f>INDEX($B$7:$N$20,MATCH(6,$F$47:$F$60,FALSE),9)</f>
        <v>1650.942</v>
      </c>
      <c r="AD12" s="676">
        <f>INDEX($B$7:$N$20,MATCH(6,$F$47:$F$60,FALSE),10)</f>
        <v>102.79</v>
      </c>
      <c r="AE12" s="674">
        <f>INDEX($B$7:$N$20,MATCH(6,$F$47:$F$60,FALSE),11)</f>
        <v>6892.7219999999998</v>
      </c>
      <c r="AF12" s="675">
        <f>INDEX($B$7:$N$20,MATCH(6,$F$47:$F$60,FALSE),12)</f>
        <v>3.59</v>
      </c>
      <c r="AG12" s="663">
        <f>INDEX($B$7:$N$20,MATCH(6,$F$47:$F$60,FALSE),13)</f>
        <v>6995.5119999999997</v>
      </c>
      <c r="AI12" s="665">
        <f t="shared" si="8"/>
        <v>259.40714080000004</v>
      </c>
      <c r="AJ12" s="472">
        <f t="shared" si="2"/>
        <v>110.30349440000001</v>
      </c>
      <c r="AK12" s="666">
        <f t="shared" si="3"/>
        <v>247.44871979999999</v>
      </c>
    </row>
    <row r="13" spans="2:37" ht="15" customHeight="1" x14ac:dyDescent="0.2">
      <c r="B13" s="668" t="s">
        <v>306</v>
      </c>
      <c r="C13" s="669">
        <v>342.23200000000003</v>
      </c>
      <c r="D13" s="670">
        <v>8167.3969999999999</v>
      </c>
      <c r="E13" s="671">
        <v>4.1399999999999997</v>
      </c>
      <c r="F13" s="663">
        <f t="shared" si="4"/>
        <v>8509.6290000000008</v>
      </c>
      <c r="G13" s="669">
        <v>172.03100000000001</v>
      </c>
      <c r="H13" s="670">
        <v>842.399</v>
      </c>
      <c r="I13" s="671">
        <v>9.75</v>
      </c>
      <c r="J13" s="663">
        <f t="shared" si="5"/>
        <v>1014.4300000000001</v>
      </c>
      <c r="K13" s="672">
        <v>170.20099999999999</v>
      </c>
      <c r="L13" s="670">
        <v>7322.9719999999998</v>
      </c>
      <c r="M13" s="671">
        <v>4.59</v>
      </c>
      <c r="N13" s="663">
        <f t="shared" si="6"/>
        <v>7493.1729999999998</v>
      </c>
      <c r="P13" s="665">
        <f t="shared" si="7"/>
        <v>338.13023579999992</v>
      </c>
      <c r="Q13" s="472">
        <f t="shared" si="0"/>
        <v>82.133902500000005</v>
      </c>
      <c r="R13" s="666">
        <f t="shared" si="1"/>
        <v>336.12441480000001</v>
      </c>
      <c r="U13" s="668" t="str">
        <f>INDEX($B$7:$N$20,MATCH(7,$F$47:$F$60,FALSE),1)</f>
        <v>Kent South London and East Sussex</v>
      </c>
      <c r="V13" s="673">
        <f>INDEX($B$7:$N$20,MATCH(7,$F$47:$F$60,FALSE),2)</f>
        <v>342.23200000000003</v>
      </c>
      <c r="W13" s="674">
        <f>INDEX($B$7:$N$20,MATCH(7,$F$47:$F$60,FALSE),3)</f>
        <v>8167.3969999999999</v>
      </c>
      <c r="X13" s="675">
        <f>INDEX($B$7:$N$20,MATCH(7,$F$47:$F$60,FALSE),4)</f>
        <v>4.1399999999999997</v>
      </c>
      <c r="Y13" s="663">
        <f>INDEX($B$7:$N$20,MATCH(7,$F$47:$F$60,FALSE),5)</f>
        <v>8509.6290000000008</v>
      </c>
      <c r="Z13" s="673">
        <f>INDEX($B$7:$N$20,MATCH(7,$F$47:$F$60,FALSE),6)</f>
        <v>172.03100000000001</v>
      </c>
      <c r="AA13" s="674">
        <f>INDEX($B$7:$N$20,MATCH(7,$F$47:$F$60,FALSE),7)</f>
        <v>842.399</v>
      </c>
      <c r="AB13" s="675">
        <f>INDEX($B$7:$N$20,MATCH(7,$F$47:$F$60,FALSE),8)</f>
        <v>9.75</v>
      </c>
      <c r="AC13" s="663">
        <f>INDEX($B$7:$N$20,MATCH(7,$F$47:$F$60,FALSE),9)</f>
        <v>1014.4300000000001</v>
      </c>
      <c r="AD13" s="676">
        <f>INDEX($B$7:$N$20,MATCH(7,$F$47:$F$60,FALSE),10)</f>
        <v>170.20099999999999</v>
      </c>
      <c r="AE13" s="674">
        <f>INDEX($B$7:$N$20,MATCH(7,$F$47:$F$60,FALSE),11)</f>
        <v>7322.9719999999998</v>
      </c>
      <c r="AF13" s="675">
        <f>INDEX($B$7:$N$20,MATCH(7,$F$47:$F$60,FALSE),12)</f>
        <v>4.59</v>
      </c>
      <c r="AG13" s="663">
        <f>INDEX($B$7:$N$20,MATCH(7,$F$47:$F$60,FALSE),13)</f>
        <v>7493.1729999999998</v>
      </c>
      <c r="AI13" s="665">
        <f t="shared" si="8"/>
        <v>338.13023579999992</v>
      </c>
      <c r="AJ13" s="472">
        <f t="shared" si="2"/>
        <v>82.133902500000005</v>
      </c>
      <c r="AK13" s="666">
        <f t="shared" si="3"/>
        <v>336.12441480000001</v>
      </c>
    </row>
    <row r="14" spans="2:37" ht="15" customHeight="1" x14ac:dyDescent="0.2">
      <c r="B14" s="668" t="s">
        <v>290</v>
      </c>
      <c r="C14" s="669">
        <v>591.37699999999995</v>
      </c>
      <c r="D14" s="670">
        <v>3102.527</v>
      </c>
      <c r="E14" s="671">
        <v>5.84</v>
      </c>
      <c r="F14" s="663">
        <f t="shared" si="4"/>
        <v>3693.904</v>
      </c>
      <c r="G14" s="669">
        <v>221.45500000000001</v>
      </c>
      <c r="H14" s="670">
        <v>365.37099999999998</v>
      </c>
      <c r="I14" s="671">
        <v>12.1</v>
      </c>
      <c r="J14" s="663">
        <f t="shared" si="5"/>
        <v>586.82600000000002</v>
      </c>
      <c r="K14" s="672">
        <v>369.92200000000003</v>
      </c>
      <c r="L14" s="670">
        <v>2732.7860000000001</v>
      </c>
      <c r="M14" s="671">
        <v>6.69</v>
      </c>
      <c r="N14" s="663">
        <f t="shared" si="6"/>
        <v>3102.7080000000001</v>
      </c>
      <c r="P14" s="665">
        <f t="shared" si="7"/>
        <v>181.18757679999999</v>
      </c>
      <c r="Q14" s="472">
        <f t="shared" si="0"/>
        <v>44.209890999999999</v>
      </c>
      <c r="R14" s="666">
        <f t="shared" si="1"/>
        <v>182.82338340000001</v>
      </c>
      <c r="U14" s="668" t="str">
        <f>INDEX($B$7:$N$20,MATCH(8,$F$47:$F$60,FALSE),1)</f>
        <v>Yorkshire</v>
      </c>
      <c r="V14" s="673">
        <f>INDEX($B$7:$N$20,MATCH(8,$F$47:$F$60,FALSE),2)</f>
        <v>962.83799999999997</v>
      </c>
      <c r="W14" s="674">
        <f>INDEX($B$7:$N$20,MATCH(8,$F$47:$F$60,FALSE),3)</f>
        <v>6749.9769999999999</v>
      </c>
      <c r="X14" s="675">
        <f>INDEX($B$7:$N$20,MATCH(8,$F$47:$F$60,FALSE),4)</f>
        <v>3.27</v>
      </c>
      <c r="Y14" s="663">
        <f>INDEX($B$7:$N$20,MATCH(8,$F$47:$F$60,FALSE),5)</f>
        <v>7712.8149999999996</v>
      </c>
      <c r="Z14" s="673">
        <f>INDEX($B$7:$N$20,MATCH(8,$F$47:$F$60,FALSE),6)</f>
        <v>807.20299999999997</v>
      </c>
      <c r="AA14" s="674">
        <f>INDEX($B$7:$N$20,MATCH(8,$F$47:$F$60,FALSE),7)</f>
        <v>1819.9090000000001</v>
      </c>
      <c r="AB14" s="675">
        <f>INDEX($B$7:$N$20,MATCH(8,$F$47:$F$60,FALSE),8)</f>
        <v>5.77</v>
      </c>
      <c r="AC14" s="663">
        <f>INDEX($B$7:$N$20,MATCH(8,$F$47:$F$60,FALSE),9)</f>
        <v>2627.1120000000001</v>
      </c>
      <c r="AD14" s="676">
        <f>INDEX($B$7:$N$20,MATCH(8,$F$47:$F$60,FALSE),10)</f>
        <v>155.63499999999999</v>
      </c>
      <c r="AE14" s="674">
        <f>INDEX($B$7:$N$20,MATCH(8,$F$47:$F$60,FALSE),11)</f>
        <v>4931.2449999999999</v>
      </c>
      <c r="AF14" s="675">
        <f>INDEX($B$7:$N$20,MATCH(8,$F$47:$F$60,FALSE),12)</f>
        <v>4.22</v>
      </c>
      <c r="AG14" s="663">
        <f>INDEX($B$7:$N$20,MATCH(8,$F$47:$F$60,FALSE),13)</f>
        <v>5086.88</v>
      </c>
      <c r="AI14" s="665">
        <f t="shared" si="8"/>
        <v>220.72424790000002</v>
      </c>
      <c r="AJ14" s="472">
        <f t="shared" si="2"/>
        <v>105.00874930000001</v>
      </c>
      <c r="AK14" s="666">
        <f t="shared" si="3"/>
        <v>208.09853899999999</v>
      </c>
    </row>
    <row r="15" spans="2:37" ht="15" customHeight="1" x14ac:dyDescent="0.2">
      <c r="B15" s="668" t="s">
        <v>291</v>
      </c>
      <c r="C15" s="669">
        <v>2340.904</v>
      </c>
      <c r="D15" s="670">
        <v>5103.7020000000002</v>
      </c>
      <c r="E15" s="671">
        <v>4.82</v>
      </c>
      <c r="F15" s="663">
        <f t="shared" si="4"/>
        <v>7444.6059999999998</v>
      </c>
      <c r="G15" s="669">
        <v>2280.712</v>
      </c>
      <c r="H15" s="670">
        <v>2553.5990000000002</v>
      </c>
      <c r="I15" s="671">
        <v>7.05</v>
      </c>
      <c r="J15" s="663">
        <f t="shared" si="5"/>
        <v>4834.3109999999997</v>
      </c>
      <c r="K15" s="672">
        <v>60.192</v>
      </c>
      <c r="L15" s="670">
        <v>2543.8690000000001</v>
      </c>
      <c r="M15" s="671">
        <v>7.13</v>
      </c>
      <c r="N15" s="663">
        <f t="shared" si="6"/>
        <v>2604.0610000000001</v>
      </c>
      <c r="P15" s="665">
        <f t="shared" si="7"/>
        <v>245.99843640000003</v>
      </c>
      <c r="Q15" s="472">
        <f t="shared" si="0"/>
        <v>180.0287295</v>
      </c>
      <c r="R15" s="666">
        <f t="shared" si="1"/>
        <v>181.37785970000002</v>
      </c>
      <c r="U15" s="668" t="str">
        <f>INDEX($B$7:$N$20,MATCH(9,$F$47:$F$60,FALSE),1)</f>
        <v>North East</v>
      </c>
      <c r="V15" s="673">
        <f>INDEX($B$7:$N$20,MATCH(9,$F$47:$F$60,FALSE),2)</f>
        <v>2340.904</v>
      </c>
      <c r="W15" s="674">
        <f>INDEX($B$7:$N$20,MATCH(9,$F$47:$F$60,FALSE),3)</f>
        <v>5103.7020000000002</v>
      </c>
      <c r="X15" s="675">
        <f>INDEX($B$7:$N$20,MATCH(9,$F$47:$F$60,FALSE),4)</f>
        <v>4.82</v>
      </c>
      <c r="Y15" s="663">
        <f>INDEX($B$7:$N$20,MATCH(9,$F$47:$F$60,FALSE),5)</f>
        <v>7444.6059999999998</v>
      </c>
      <c r="Z15" s="673">
        <f>INDEX($B$7:$N$20,MATCH(9,$F$47:$F$60,FALSE),6)</f>
        <v>2280.712</v>
      </c>
      <c r="AA15" s="674">
        <f>INDEX($B$7:$N$20,MATCH(9,$F$47:$F$60,FALSE),7)</f>
        <v>2553.5990000000002</v>
      </c>
      <c r="AB15" s="675">
        <f>INDEX($B$7:$N$20,MATCH(9,$F$47:$F$60,FALSE),8)</f>
        <v>7.05</v>
      </c>
      <c r="AC15" s="663">
        <f>INDEX($B$7:$N$20,MATCH(9,$F$47:$F$60,FALSE),9)</f>
        <v>4834.3109999999997</v>
      </c>
      <c r="AD15" s="676">
        <f>INDEX($B$7:$N$20,MATCH(9,$F$47:$F$60,FALSE),10)</f>
        <v>60.192</v>
      </c>
      <c r="AE15" s="674">
        <f>INDEX($B$7:$N$20,MATCH(9,$F$47:$F$60,FALSE),11)</f>
        <v>2543.8690000000001</v>
      </c>
      <c r="AF15" s="675">
        <f>INDEX($B$7:$N$20,MATCH(9,$F$47:$F$60,FALSE),12)</f>
        <v>7.13</v>
      </c>
      <c r="AG15" s="663">
        <f>INDEX($B$7:$N$20,MATCH(9,$F$47:$F$60,FALSE),13)</f>
        <v>2604.0610000000001</v>
      </c>
      <c r="AI15" s="665">
        <f t="shared" si="8"/>
        <v>245.99843640000003</v>
      </c>
      <c r="AJ15" s="472">
        <f t="shared" si="2"/>
        <v>180.0287295</v>
      </c>
      <c r="AK15" s="666">
        <f t="shared" si="3"/>
        <v>181.37785970000002</v>
      </c>
    </row>
    <row r="16" spans="2:37" ht="15" customHeight="1" x14ac:dyDescent="0.2">
      <c r="B16" s="668" t="s">
        <v>292</v>
      </c>
      <c r="C16" s="669">
        <v>2302.98</v>
      </c>
      <c r="D16" s="670">
        <v>9250.0349999999999</v>
      </c>
      <c r="E16" s="671">
        <v>2.95</v>
      </c>
      <c r="F16" s="663">
        <f t="shared" si="4"/>
        <v>11553.014999999999</v>
      </c>
      <c r="G16" s="669">
        <v>687.40499999999997</v>
      </c>
      <c r="H16" s="670">
        <v>1442.4970000000001</v>
      </c>
      <c r="I16" s="671">
        <v>6.44</v>
      </c>
      <c r="J16" s="663">
        <f t="shared" si="5"/>
        <v>2129.902</v>
      </c>
      <c r="K16" s="672">
        <v>1615.575</v>
      </c>
      <c r="L16" s="670">
        <v>7801.0069999999996</v>
      </c>
      <c r="M16" s="671">
        <v>3.39</v>
      </c>
      <c r="N16" s="663">
        <f t="shared" si="6"/>
        <v>9416.5820000000003</v>
      </c>
      <c r="P16" s="665">
        <f t="shared" si="7"/>
        <v>272.87603250000001</v>
      </c>
      <c r="Q16" s="472">
        <f t="shared" si="0"/>
        <v>92.896806800000007</v>
      </c>
      <c r="R16" s="666">
        <f t="shared" si="1"/>
        <v>264.45413730000001</v>
      </c>
      <c r="U16" s="668" t="str">
        <f>INDEX($B$7:$N$20,MATCH(10,$F$47:$F$60,FALSE),1)</f>
        <v>Cumbria and Lancashire</v>
      </c>
      <c r="V16" s="673">
        <f>INDEX($B$7:$N$20,MATCH(10,$F$47:$F$60,FALSE),2)</f>
        <v>1084.1869999999999</v>
      </c>
      <c r="W16" s="674">
        <f>INDEX($B$7:$N$20,MATCH(10,$F$47:$F$60,FALSE),3)</f>
        <v>5131.335</v>
      </c>
      <c r="X16" s="675">
        <f>INDEX($B$7:$N$20,MATCH(10,$F$47:$F$60,FALSE),4)</f>
        <v>4.2699999999999996</v>
      </c>
      <c r="Y16" s="663">
        <f>INDEX($B$7:$N$20,MATCH(10,$F$47:$F$60,FALSE),5)</f>
        <v>6215.5219999999999</v>
      </c>
      <c r="Z16" s="673">
        <f>INDEX($B$7:$N$20,MATCH(10,$F$47:$F$60,FALSE),6)</f>
        <v>920.92899999999997</v>
      </c>
      <c r="AA16" s="674">
        <f>INDEX($B$7:$N$20,MATCH(10,$F$47:$F$60,FALSE),7)</f>
        <v>1820.877</v>
      </c>
      <c r="AB16" s="675">
        <f>INDEX($B$7:$N$20,MATCH(10,$F$47:$F$60,FALSE),8)</f>
        <v>6.86</v>
      </c>
      <c r="AC16" s="663">
        <f>INDEX($B$7:$N$20,MATCH(10,$F$47:$F$60,FALSE),9)</f>
        <v>2741.806</v>
      </c>
      <c r="AD16" s="676">
        <f>INDEX($B$7:$N$20,MATCH(10,$F$47:$F$60,FALSE),10)</f>
        <v>163.25899999999999</v>
      </c>
      <c r="AE16" s="674">
        <f>INDEX($B$7:$N$20,MATCH(10,$F$47:$F$60,FALSE),11)</f>
        <v>3306.3009999999999</v>
      </c>
      <c r="AF16" s="675">
        <f>INDEX($B$7:$N$20,MATCH(10,$F$47:$F$60,FALSE),12)</f>
        <v>5.88</v>
      </c>
      <c r="AG16" s="663">
        <f>INDEX($B$7:$N$20,MATCH(10,$F$47:$F$60,FALSE),13)</f>
        <v>3469.56</v>
      </c>
      <c r="AI16" s="665">
        <f t="shared" si="8"/>
        <v>219.10800449999999</v>
      </c>
      <c r="AJ16" s="472">
        <f t="shared" si="2"/>
        <v>124.9121622</v>
      </c>
      <c r="AK16" s="666">
        <f t="shared" si="3"/>
        <v>194.4104988</v>
      </c>
    </row>
    <row r="17" spans="2:37" ht="15" customHeight="1" x14ac:dyDescent="0.2">
      <c r="B17" s="668" t="s">
        <v>293</v>
      </c>
      <c r="C17" s="669">
        <v>186.92099999999999</v>
      </c>
      <c r="D17" s="670">
        <v>8449.7440000000006</v>
      </c>
      <c r="E17" s="671">
        <v>3.07</v>
      </c>
      <c r="F17" s="663">
        <f t="shared" si="4"/>
        <v>8636.6650000000009</v>
      </c>
      <c r="G17" s="669">
        <v>84.131</v>
      </c>
      <c r="H17" s="670">
        <v>1566.8109999999999</v>
      </c>
      <c r="I17" s="671">
        <v>7.04</v>
      </c>
      <c r="J17" s="663">
        <f t="shared" si="5"/>
        <v>1650.942</v>
      </c>
      <c r="K17" s="672">
        <v>102.79</v>
      </c>
      <c r="L17" s="670">
        <v>6892.7219999999998</v>
      </c>
      <c r="M17" s="671">
        <v>3.59</v>
      </c>
      <c r="N17" s="663">
        <f t="shared" si="6"/>
        <v>6995.5119999999997</v>
      </c>
      <c r="P17" s="665">
        <f t="shared" si="7"/>
        <v>259.40714080000004</v>
      </c>
      <c r="Q17" s="472">
        <f t="shared" si="0"/>
        <v>110.30349440000001</v>
      </c>
      <c r="R17" s="666">
        <f t="shared" si="1"/>
        <v>247.44871979999999</v>
      </c>
      <c r="U17" s="668" t="str">
        <f>INDEX($B$7:$N$20,MATCH(11,$F$47:$F$60,FALSE),1)</f>
        <v>East Midlands</v>
      </c>
      <c r="V17" s="673">
        <f>INDEX($B$7:$N$20,MATCH(11,$F$47:$F$60,FALSE),2)</f>
        <v>441.72</v>
      </c>
      <c r="W17" s="674">
        <f>INDEX($B$7:$N$20,MATCH(11,$F$47:$F$60,FALSE),3)</f>
        <v>3284.8690000000001</v>
      </c>
      <c r="X17" s="675">
        <f>INDEX($B$7:$N$20,MATCH(11,$F$47:$F$60,FALSE),4)</f>
        <v>6.66</v>
      </c>
      <c r="Y17" s="663">
        <f>INDEX($B$7:$N$20,MATCH(11,$F$47:$F$60,FALSE),5)</f>
        <v>3726.5889999999999</v>
      </c>
      <c r="Z17" s="673">
        <f>INDEX($B$7:$N$20,MATCH(11,$F$47:$F$60,FALSE),6)</f>
        <v>340.25</v>
      </c>
      <c r="AA17" s="674">
        <f>INDEX($B$7:$N$20,MATCH(11,$F$47:$F$60,FALSE),7)</f>
        <v>760.28899999999999</v>
      </c>
      <c r="AB17" s="675">
        <f>INDEX($B$7:$N$20,MATCH(11,$F$47:$F$60,FALSE),8)</f>
        <v>12.99</v>
      </c>
      <c r="AC17" s="663">
        <f>INDEX($B$7:$N$20,MATCH(11,$F$47:$F$60,FALSE),9)</f>
        <v>1100.539</v>
      </c>
      <c r="AD17" s="676">
        <f>INDEX($B$7:$N$20,MATCH(11,$F$47:$F$60,FALSE),10)</f>
        <v>101.471</v>
      </c>
      <c r="AE17" s="674">
        <f>INDEX($B$7:$N$20,MATCH(11,$F$47:$F$60,FALSE),11)</f>
        <v>2524.58</v>
      </c>
      <c r="AF17" s="675">
        <f>INDEX($B$7:$N$20,MATCH(11,$F$47:$F$60,FALSE),12)</f>
        <v>8.49</v>
      </c>
      <c r="AG17" s="663">
        <f>INDEX($B$7:$N$20,MATCH(11,$F$47:$F$60,FALSE),13)</f>
        <v>2626.0509999999999</v>
      </c>
      <c r="AI17" s="665">
        <f t="shared" si="8"/>
        <v>218.77227540000001</v>
      </c>
      <c r="AJ17" s="472">
        <f t="shared" si="2"/>
        <v>98.761541099999988</v>
      </c>
      <c r="AK17" s="666">
        <f t="shared" si="3"/>
        <v>214.33684199999999</v>
      </c>
    </row>
    <row r="18" spans="2:37" ht="15" customHeight="1" x14ac:dyDescent="0.2">
      <c r="B18" s="668" t="s">
        <v>294</v>
      </c>
      <c r="C18" s="669">
        <v>1473.15</v>
      </c>
      <c r="D18" s="670">
        <v>11334.34</v>
      </c>
      <c r="E18" s="671">
        <v>4.21</v>
      </c>
      <c r="F18" s="663">
        <f t="shared" si="4"/>
        <v>12807.49</v>
      </c>
      <c r="G18" s="669">
        <v>961.72400000000005</v>
      </c>
      <c r="H18" s="670">
        <v>2476.2080000000001</v>
      </c>
      <c r="I18" s="671">
        <v>8.6999999999999993</v>
      </c>
      <c r="J18" s="663">
        <f t="shared" si="5"/>
        <v>3437.9320000000002</v>
      </c>
      <c r="K18" s="672">
        <v>511.42599999999999</v>
      </c>
      <c r="L18" s="670">
        <v>8888.3379999999997</v>
      </c>
      <c r="M18" s="671">
        <v>4.88</v>
      </c>
      <c r="N18" s="663">
        <f t="shared" si="6"/>
        <v>9399.7639999999992</v>
      </c>
      <c r="P18" s="665">
        <f t="shared" si="7"/>
        <v>477.17571400000003</v>
      </c>
      <c r="Q18" s="472">
        <f t="shared" si="0"/>
        <v>215.43009599999996</v>
      </c>
      <c r="R18" s="666">
        <f t="shared" si="1"/>
        <v>433.75089439999994</v>
      </c>
      <c r="U18" s="668" t="str">
        <f>INDEX($B$7:$N$20,MATCH(12,$F$47:$F$60,FALSE),1)</f>
        <v>Lincolnshire and Northamptonshire</v>
      </c>
      <c r="V18" s="673">
        <f>INDEX($B$7:$N$20,MATCH(12,$F$47:$F$60,FALSE),2)</f>
        <v>591.37699999999995</v>
      </c>
      <c r="W18" s="674">
        <f>INDEX($B$7:$N$20,MATCH(12,$F$47:$F$60,FALSE),3)</f>
        <v>3102.527</v>
      </c>
      <c r="X18" s="675">
        <f>INDEX($B$7:$N$20,MATCH(12,$F$47:$F$60,FALSE),4)</f>
        <v>5.84</v>
      </c>
      <c r="Y18" s="663">
        <f>INDEX($B$7:$N$20,MATCH(12,$F$47:$F$60,FALSE),5)</f>
        <v>3693.904</v>
      </c>
      <c r="Z18" s="673">
        <f>INDEX($B$7:$N$20,MATCH(12,$F$47:$F$60,FALSE),6)</f>
        <v>221.45500000000001</v>
      </c>
      <c r="AA18" s="674">
        <f>INDEX($B$7:$N$20,MATCH(12,$F$47:$F$60,FALSE),7)</f>
        <v>365.37099999999998</v>
      </c>
      <c r="AB18" s="675">
        <f>INDEX($B$7:$N$20,MATCH(12,$F$47:$F$60,FALSE),8)</f>
        <v>12.1</v>
      </c>
      <c r="AC18" s="663">
        <f>INDEX($B$7:$N$20,MATCH(12,$F$47:$F$60,FALSE),9)</f>
        <v>586.82600000000002</v>
      </c>
      <c r="AD18" s="676">
        <f>INDEX($B$7:$N$20,MATCH(12,$F$47:$F$60,FALSE),10)</f>
        <v>369.92200000000003</v>
      </c>
      <c r="AE18" s="674">
        <f>INDEX($B$7:$N$20,MATCH(12,$F$47:$F$60,FALSE),11)</f>
        <v>2732.7860000000001</v>
      </c>
      <c r="AF18" s="675">
        <f>INDEX($B$7:$N$20,MATCH(12,$F$47:$F$60,FALSE),12)</f>
        <v>6.69</v>
      </c>
      <c r="AG18" s="663">
        <f>INDEX($B$7:$N$20,MATCH(12,$F$47:$F$60,FALSE),13)</f>
        <v>3102.7080000000001</v>
      </c>
      <c r="AI18" s="665">
        <f t="shared" si="8"/>
        <v>181.18757679999999</v>
      </c>
      <c r="AJ18" s="472">
        <f t="shared" si="2"/>
        <v>44.209890999999999</v>
      </c>
      <c r="AK18" s="666">
        <f t="shared" si="3"/>
        <v>182.82338340000001</v>
      </c>
    </row>
    <row r="19" spans="2:37" ht="15" customHeight="1" x14ac:dyDescent="0.2">
      <c r="B19" s="668" t="s">
        <v>295</v>
      </c>
      <c r="C19" s="669">
        <v>804.67</v>
      </c>
      <c r="D19" s="670">
        <v>9122.7270000000008</v>
      </c>
      <c r="E19" s="671">
        <v>3.92</v>
      </c>
      <c r="F19" s="663">
        <f t="shared" si="4"/>
        <v>9927.3970000000008</v>
      </c>
      <c r="G19" s="669">
        <v>447.87099999999998</v>
      </c>
      <c r="H19" s="670">
        <v>1897.39</v>
      </c>
      <c r="I19" s="671">
        <v>8.01</v>
      </c>
      <c r="J19" s="663">
        <f t="shared" si="5"/>
        <v>2345.261</v>
      </c>
      <c r="K19" s="672">
        <v>356.79899999999998</v>
      </c>
      <c r="L19" s="670">
        <v>7241.6869999999999</v>
      </c>
      <c r="M19" s="671">
        <v>4.62</v>
      </c>
      <c r="N19" s="663">
        <f t="shared" si="6"/>
        <v>7598.4859999999999</v>
      </c>
      <c r="P19" s="665">
        <f t="shared" si="7"/>
        <v>357.6108984</v>
      </c>
      <c r="Q19" s="472">
        <f t="shared" si="0"/>
        <v>151.98093900000001</v>
      </c>
      <c r="R19" s="666">
        <f t="shared" si="1"/>
        <v>334.56593939999999</v>
      </c>
      <c r="U19" s="668" t="str">
        <f>INDEX($B$7:$N$20,MATCH(13,$F$47:$F$60,FALSE),1)</f>
        <v>Hertfordshire and North London</v>
      </c>
      <c r="V19" s="673">
        <f>INDEX($B$7:$N$20,MATCH(13,$F$47:$F$60,FALSE),2)</f>
        <v>42.38</v>
      </c>
      <c r="W19" s="674">
        <f>INDEX($B$7:$N$20,MATCH(13,$F$47:$F$60,FALSE),3)</f>
        <v>2638.2449999999999</v>
      </c>
      <c r="X19" s="675">
        <f>INDEX($B$7:$N$20,MATCH(13,$F$47:$F$60,FALSE),4)</f>
        <v>12.02</v>
      </c>
      <c r="Y19" s="663">
        <f>INDEX($B$7:$N$20,MATCH(13,$F$47:$F$60,FALSE),5)</f>
        <v>2680.625</v>
      </c>
      <c r="Z19" s="673">
        <f>INDEX($B$7:$N$20,MATCH(13,$F$47:$F$60,FALSE),6)</f>
        <v>15.616</v>
      </c>
      <c r="AA19" s="674">
        <f>INDEX($B$7:$N$20,MATCH(13,$F$47:$F$60,FALSE),7)</f>
        <v>277.69099999999997</v>
      </c>
      <c r="AB19" s="675">
        <f>INDEX($B$7:$N$20,MATCH(13,$F$47:$F$60,FALSE),8)</f>
        <v>17.23</v>
      </c>
      <c r="AC19" s="663">
        <f>INDEX($B$7:$N$20,MATCH(13,$F$47:$F$60,FALSE),9)</f>
        <v>293.30699999999996</v>
      </c>
      <c r="AD19" s="676">
        <f>INDEX($B$7:$N$20,MATCH(13,$F$47:$F$60,FALSE),10)</f>
        <v>26.763999999999999</v>
      </c>
      <c r="AE19" s="674">
        <f>INDEX($B$7:$N$20,MATCH(13,$F$47:$F$60,FALSE),11)</f>
        <v>2360.5540000000001</v>
      </c>
      <c r="AF19" s="675">
        <f>INDEX($B$7:$N$20,MATCH(13,$F$47:$F$60,FALSE),12)</f>
        <v>13.32</v>
      </c>
      <c r="AG19" s="663">
        <f>INDEX($B$7:$N$20,MATCH(13,$F$47:$F$60,FALSE),13)</f>
        <v>2387.3180000000002</v>
      </c>
      <c r="AI19" s="665">
        <f t="shared" si="8"/>
        <v>317.11704899999995</v>
      </c>
      <c r="AJ19" s="472">
        <f t="shared" si="2"/>
        <v>47.846159299999997</v>
      </c>
      <c r="AK19" s="666">
        <f t="shared" si="3"/>
        <v>314.42579280000001</v>
      </c>
    </row>
    <row r="20" spans="2:37" ht="15" customHeight="1" thickBot="1" x14ac:dyDescent="0.25">
      <c r="B20" s="677" t="s">
        <v>296</v>
      </c>
      <c r="C20" s="678">
        <v>962.83799999999997</v>
      </c>
      <c r="D20" s="679">
        <v>6749.9769999999999</v>
      </c>
      <c r="E20" s="680">
        <v>3.27</v>
      </c>
      <c r="F20" s="681">
        <f t="shared" si="4"/>
        <v>7712.8149999999996</v>
      </c>
      <c r="G20" s="678">
        <v>807.20299999999997</v>
      </c>
      <c r="H20" s="679">
        <v>1819.9090000000001</v>
      </c>
      <c r="I20" s="680">
        <v>5.77</v>
      </c>
      <c r="J20" s="681">
        <f t="shared" si="5"/>
        <v>2627.1120000000001</v>
      </c>
      <c r="K20" s="682">
        <v>155.63499999999999</v>
      </c>
      <c r="L20" s="679">
        <v>4931.2449999999999</v>
      </c>
      <c r="M20" s="680">
        <v>4.22</v>
      </c>
      <c r="N20" s="681">
        <f t="shared" si="6"/>
        <v>5086.88</v>
      </c>
      <c r="P20" s="683">
        <f t="shared" si="7"/>
        <v>220.72424790000002</v>
      </c>
      <c r="Q20" s="684">
        <f t="shared" si="0"/>
        <v>105.00874930000001</v>
      </c>
      <c r="R20" s="685">
        <f t="shared" si="1"/>
        <v>208.09853899999999</v>
      </c>
      <c r="U20" s="677" t="str">
        <f>INDEX($B$7:$N$20,MATCH(14,$F$47:$F$60,FALSE),1)</f>
        <v>Greater Manchester Merseyside and Cheshire</v>
      </c>
      <c r="V20" s="686">
        <f>INDEX($B$7:$N$20,MATCH(14,$F$47:$F$60,FALSE),2)</f>
        <v>63.929000000000002</v>
      </c>
      <c r="W20" s="687">
        <f>INDEX($B$7:$N$20,MATCH(14,$F$47:$F$60,FALSE),3)</f>
        <v>1929.6859999999999</v>
      </c>
      <c r="X20" s="688">
        <f>INDEX($B$7:$N$20,MATCH(14,$F$47:$F$60,FALSE),4)</f>
        <v>11.6</v>
      </c>
      <c r="Y20" s="681">
        <f>INDEX($B$7:$N$20,MATCH(14,$F$47:$F$60,FALSE),5)</f>
        <v>1993.615</v>
      </c>
      <c r="Z20" s="686">
        <f>INDEX($B$7:$N$20,MATCH(14,$F$47:$F$60,FALSE),6)</f>
        <v>40.026000000000003</v>
      </c>
      <c r="AA20" s="687">
        <f>INDEX($B$7:$N$20,MATCH(14,$F$47:$F$60,FALSE),7)</f>
        <v>183.703</v>
      </c>
      <c r="AB20" s="688">
        <f>INDEX($B$7:$N$20,MATCH(14,$F$47:$F$60,FALSE),8)</f>
        <v>17.97</v>
      </c>
      <c r="AC20" s="681">
        <f>INDEX($B$7:$N$20,MATCH(14,$F$47:$F$60,FALSE),9)</f>
        <v>223.72900000000001</v>
      </c>
      <c r="AD20" s="689">
        <f>INDEX($B$7:$N$20,MATCH(14,$F$47:$F$60,FALSE),10)</f>
        <v>23.902999999999999</v>
      </c>
      <c r="AE20" s="687">
        <f>INDEX($B$7:$N$20,MATCH(14,$F$47:$F$60,FALSE),11)</f>
        <v>1745.9839999999999</v>
      </c>
      <c r="AF20" s="688">
        <f>INDEX($B$7:$N$20,MATCH(14,$F$47:$F$60,FALSE),12)</f>
        <v>12.82</v>
      </c>
      <c r="AG20" s="681">
        <f>INDEX($B$7:$N$20,MATCH(14,$F$47:$F$60,FALSE),13)</f>
        <v>1769.8869999999999</v>
      </c>
      <c r="AI20" s="683">
        <f t="shared" si="8"/>
        <v>223.84357599999998</v>
      </c>
      <c r="AJ20" s="684">
        <f t="shared" si="2"/>
        <v>33.011429100000001</v>
      </c>
      <c r="AK20" s="685">
        <f t="shared" si="3"/>
        <v>223.83514879999998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 t="s">
        <v>721</v>
      </c>
      <c r="C26" s="660">
        <v>8.4943399999999993</v>
      </c>
      <c r="D26" s="661">
        <v>9.8433299999999999</v>
      </c>
      <c r="E26" s="662">
        <v>12.213512707120753</v>
      </c>
      <c r="F26" s="663">
        <f>C26+D26</f>
        <v>18.337669999999999</v>
      </c>
      <c r="G26" s="664"/>
      <c r="H26" s="661"/>
      <c r="I26" s="662"/>
      <c r="J26" s="696"/>
      <c r="K26" s="664"/>
      <c r="L26" s="661"/>
      <c r="M26" s="662"/>
      <c r="N26" s="696"/>
      <c r="P26" s="665">
        <f>D26*E26/100</f>
        <v>1.2022163603538292</v>
      </c>
      <c r="Q26" s="472"/>
      <c r="R26" s="666"/>
    </row>
    <row r="27" spans="2:37" ht="15" customHeight="1" x14ac:dyDescent="0.2">
      <c r="B27" s="668" t="s">
        <v>286</v>
      </c>
      <c r="C27" s="669">
        <v>1.17967</v>
      </c>
      <c r="D27" s="670">
        <v>1.3520699999999999</v>
      </c>
      <c r="E27" s="671">
        <v>31.35</v>
      </c>
      <c r="F27" s="663">
        <f>C27+D27</f>
        <v>2.5317400000000001</v>
      </c>
      <c r="G27" s="672"/>
      <c r="H27" s="670"/>
      <c r="I27" s="671"/>
      <c r="J27" s="696"/>
      <c r="K27" s="672"/>
      <c r="L27" s="670"/>
      <c r="M27" s="671"/>
      <c r="N27" s="696"/>
      <c r="P27" s="665">
        <f>D27*E27/100</f>
        <v>0.42387394499999997</v>
      </c>
      <c r="Q27" s="472"/>
      <c r="R27" s="666"/>
    </row>
    <row r="28" spans="2:37" ht="15" customHeight="1" x14ac:dyDescent="0.2">
      <c r="B28" s="668" t="s">
        <v>307</v>
      </c>
      <c r="C28" s="669">
        <v>0.57008999999999999</v>
      </c>
      <c r="D28" s="670">
        <v>0.81649000000000005</v>
      </c>
      <c r="E28" s="671">
        <v>35.89</v>
      </c>
      <c r="F28" s="663">
        <f t="shared" ref="F28:F40" si="9">C28+D28</f>
        <v>1.3865799999999999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ref="P28:P40" si="10">D28*E28/100</f>
        <v>0.29303826100000002</v>
      </c>
      <c r="Q28" s="472"/>
      <c r="R28" s="666"/>
    </row>
    <row r="29" spans="2:37" ht="15" customHeight="1" x14ac:dyDescent="0.2">
      <c r="B29" s="668" t="s">
        <v>287</v>
      </c>
      <c r="C29" s="669">
        <v>0.68840000000000001</v>
      </c>
      <c r="D29" s="670">
        <v>0.85301000000000005</v>
      </c>
      <c r="E29" s="671">
        <v>50.05</v>
      </c>
      <c r="F29" s="663">
        <f t="shared" si="9"/>
        <v>1.5414099999999999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10"/>
        <v>0.42693150499999999</v>
      </c>
      <c r="Q29" s="472"/>
      <c r="R29" s="666"/>
    </row>
    <row r="30" spans="2:37" ht="15" customHeight="1" x14ac:dyDescent="0.2">
      <c r="B30" s="668" t="s">
        <v>288</v>
      </c>
      <c r="C30" s="669">
        <v>0.33438999999999997</v>
      </c>
      <c r="D30" s="670">
        <v>0.29669999999999996</v>
      </c>
      <c r="E30" s="671">
        <v>80.790000000000006</v>
      </c>
      <c r="F30" s="663">
        <f t="shared" si="9"/>
        <v>0.63108999999999993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10"/>
        <v>0.23970392999999998</v>
      </c>
      <c r="Q30" s="472"/>
      <c r="R30" s="666"/>
    </row>
    <row r="31" spans="2:37" ht="15" customHeight="1" x14ac:dyDescent="0.2">
      <c r="B31" s="668" t="s">
        <v>305</v>
      </c>
      <c r="C31" s="669">
        <v>1.443E-2</v>
      </c>
      <c r="D31" s="670">
        <v>3.2640000000000002E-2</v>
      </c>
      <c r="E31" s="671">
        <v>93.36</v>
      </c>
      <c r="F31" s="663">
        <f t="shared" si="9"/>
        <v>4.7070000000000001E-2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10"/>
        <v>3.0472704000000003E-2</v>
      </c>
      <c r="Q31" s="472"/>
      <c r="R31" s="666"/>
    </row>
    <row r="32" spans="2:37" ht="15" customHeight="1" x14ac:dyDescent="0.2">
      <c r="B32" s="668" t="s">
        <v>289</v>
      </c>
      <c r="C32" s="669">
        <v>3.6900000000000001E-3</v>
      </c>
      <c r="D32" s="670">
        <v>0.11069</v>
      </c>
      <c r="E32" s="671">
        <v>80.53</v>
      </c>
      <c r="F32" s="663">
        <f t="shared" si="9"/>
        <v>0.11438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10"/>
        <v>8.913865700000001E-2</v>
      </c>
      <c r="Q32" s="472"/>
      <c r="R32" s="666"/>
    </row>
    <row r="33" spans="2:18" ht="15" customHeight="1" x14ac:dyDescent="0.2">
      <c r="B33" s="668" t="s">
        <v>306</v>
      </c>
      <c r="C33" s="669">
        <v>6.0729999999999999E-2</v>
      </c>
      <c r="D33" s="670">
        <v>0.78816999999999993</v>
      </c>
      <c r="E33" s="671">
        <v>49.05</v>
      </c>
      <c r="F33" s="663">
        <f t="shared" si="9"/>
        <v>0.84889999999999988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10"/>
        <v>0.38659738499999996</v>
      </c>
      <c r="Q33" s="472"/>
      <c r="R33" s="666"/>
    </row>
    <row r="34" spans="2:18" ht="15" customHeight="1" x14ac:dyDescent="0.2">
      <c r="B34" s="668" t="s">
        <v>290</v>
      </c>
      <c r="C34" s="669">
        <v>0.19596</v>
      </c>
      <c r="D34" s="670">
        <v>0.19735</v>
      </c>
      <c r="E34" s="671">
        <v>51.52</v>
      </c>
      <c r="F34" s="663">
        <f t="shared" si="9"/>
        <v>0.39330999999999999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10"/>
        <v>0.10167472</v>
      </c>
      <c r="Q34" s="472"/>
      <c r="R34" s="666"/>
    </row>
    <row r="35" spans="2:18" ht="15" customHeight="1" x14ac:dyDescent="0.2">
      <c r="B35" s="668" t="s">
        <v>291</v>
      </c>
      <c r="C35" s="669">
        <v>2.3097399999999997</v>
      </c>
      <c r="D35" s="670">
        <v>1.63391</v>
      </c>
      <c r="E35" s="671">
        <v>37.630000000000003</v>
      </c>
      <c r="F35" s="663">
        <f t="shared" si="9"/>
        <v>3.9436499999999999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10"/>
        <v>0.61484033299999996</v>
      </c>
      <c r="Q35" s="472"/>
      <c r="R35" s="666"/>
    </row>
    <row r="36" spans="2:18" ht="15" customHeight="1" x14ac:dyDescent="0.2">
      <c r="B36" s="668" t="s">
        <v>292</v>
      </c>
      <c r="C36" s="669">
        <v>0.54664999999999997</v>
      </c>
      <c r="D36" s="670">
        <v>0.54794000000000009</v>
      </c>
      <c r="E36" s="671">
        <v>37.29</v>
      </c>
      <c r="F36" s="663">
        <f t="shared" si="9"/>
        <v>1.0945900000000002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10"/>
        <v>0.20432682600000004</v>
      </c>
      <c r="Q36" s="472"/>
      <c r="R36" s="666"/>
    </row>
    <row r="37" spans="2:18" ht="15" customHeight="1" x14ac:dyDescent="0.2">
      <c r="B37" s="668" t="s">
        <v>293</v>
      </c>
      <c r="C37" s="669">
        <v>0.21093999999999999</v>
      </c>
      <c r="D37" s="670">
        <v>0.76591999999999993</v>
      </c>
      <c r="E37" s="671">
        <v>44.86</v>
      </c>
      <c r="F37" s="663">
        <f t="shared" si="9"/>
        <v>0.97685999999999995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10"/>
        <v>0.34359171199999999</v>
      </c>
      <c r="Q37" s="472"/>
      <c r="R37" s="666"/>
    </row>
    <row r="38" spans="2:18" ht="15" customHeight="1" x14ac:dyDescent="0.2">
      <c r="B38" s="668" t="s">
        <v>294</v>
      </c>
      <c r="C38" s="669">
        <v>0.21414</v>
      </c>
      <c r="D38" s="670">
        <v>0.41102</v>
      </c>
      <c r="E38" s="671">
        <v>42.96</v>
      </c>
      <c r="F38" s="663">
        <f t="shared" si="9"/>
        <v>0.62515999999999994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10"/>
        <v>0.17657419199999999</v>
      </c>
      <c r="Q38" s="472"/>
      <c r="R38" s="666"/>
    </row>
    <row r="39" spans="2:18" ht="15" customHeight="1" x14ac:dyDescent="0.2">
      <c r="B39" s="668" t="s">
        <v>295</v>
      </c>
      <c r="C39" s="669">
        <v>0.92698000000000003</v>
      </c>
      <c r="D39" s="670">
        <v>0.36718000000000001</v>
      </c>
      <c r="E39" s="671">
        <v>47.47</v>
      </c>
      <c r="F39" s="663">
        <f t="shared" si="9"/>
        <v>1.29416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10"/>
        <v>0.17430034599999999</v>
      </c>
      <c r="Q39" s="472"/>
      <c r="R39" s="666"/>
    </row>
    <row r="40" spans="2:18" ht="15" customHeight="1" thickBot="1" x14ac:dyDescent="0.25">
      <c r="B40" s="677" t="s">
        <v>296</v>
      </c>
      <c r="C40" s="678">
        <v>1.2385299999999999</v>
      </c>
      <c r="D40" s="679">
        <v>1.6702399999999999</v>
      </c>
      <c r="E40" s="680">
        <v>24.83</v>
      </c>
      <c r="F40" s="681">
        <f t="shared" si="9"/>
        <v>2.9087699999999996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10"/>
        <v>0.41472059199999994</v>
      </c>
      <c r="Q40" s="684"/>
      <c r="R40" s="685"/>
    </row>
    <row r="42" spans="2:18" ht="15" customHeight="1" thickBot="1" x14ac:dyDescent="0.25"/>
    <row r="43" spans="2:18" ht="15" customHeight="1" x14ac:dyDescent="0.2">
      <c r="B43" s="1000" t="s">
        <v>753</v>
      </c>
      <c r="C43" s="1002" t="s">
        <v>106</v>
      </c>
      <c r="D43" s="1002"/>
      <c r="E43" s="1002"/>
      <c r="F43" s="1002"/>
      <c r="G43" s="1002" t="s">
        <v>92</v>
      </c>
      <c r="H43" s="1002"/>
      <c r="I43" s="1002"/>
      <c r="J43" s="1002"/>
      <c r="K43" s="1002" t="s">
        <v>105</v>
      </c>
      <c r="L43" s="1002"/>
      <c r="M43" s="1002"/>
      <c r="N43" s="1002"/>
      <c r="P43" s="1003" t="s">
        <v>754</v>
      </c>
      <c r="Q43" s="996" t="s">
        <v>755</v>
      </c>
      <c r="R43" s="998" t="s">
        <v>756</v>
      </c>
    </row>
    <row r="44" spans="2:18" ht="15" customHeight="1" x14ac:dyDescent="0.2">
      <c r="B44" s="1000"/>
      <c r="C44" s="653" t="s">
        <v>78</v>
      </c>
      <c r="D44" s="653" t="s">
        <v>309</v>
      </c>
      <c r="E44" s="653"/>
      <c r="F44" s="653" t="s">
        <v>80</v>
      </c>
      <c r="G44" s="653" t="s">
        <v>78</v>
      </c>
      <c r="H44" s="653" t="s">
        <v>309</v>
      </c>
      <c r="I44" s="653"/>
      <c r="J44" s="653" t="s">
        <v>80</v>
      </c>
      <c r="K44" s="653" t="s">
        <v>78</v>
      </c>
      <c r="L44" s="653" t="s">
        <v>309</v>
      </c>
      <c r="M44" s="653"/>
      <c r="N44" s="653" t="s">
        <v>80</v>
      </c>
      <c r="P44" s="1004"/>
      <c r="Q44" s="997"/>
      <c r="R44" s="999"/>
    </row>
    <row r="45" spans="2:18" ht="15" customHeight="1" thickBot="1" x14ac:dyDescent="0.25">
      <c r="B45" s="1001"/>
      <c r="C45" s="654" t="s">
        <v>758</v>
      </c>
      <c r="D45" s="654" t="s">
        <v>758</v>
      </c>
      <c r="E45" s="655"/>
      <c r="F45" s="654" t="s">
        <v>758</v>
      </c>
      <c r="G45" s="654" t="s">
        <v>757</v>
      </c>
      <c r="H45" s="654" t="s">
        <v>757</v>
      </c>
      <c r="I45" s="655" t="s">
        <v>82</v>
      </c>
      <c r="J45" s="654" t="s">
        <v>757</v>
      </c>
      <c r="K45" s="654" t="s">
        <v>757</v>
      </c>
      <c r="L45" s="654" t="s">
        <v>757</v>
      </c>
      <c r="M45" s="655" t="s">
        <v>82</v>
      </c>
      <c r="N45" s="654" t="s">
        <v>757</v>
      </c>
      <c r="P45" s="656"/>
      <c r="Q45" s="657"/>
      <c r="R45" s="658"/>
    </row>
    <row r="46" spans="2:18" ht="15" customHeight="1" x14ac:dyDescent="0.2">
      <c r="B46" s="659" t="s">
        <v>721</v>
      </c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 t="s">
        <v>286</v>
      </c>
      <c r="C47" s="697">
        <f>_xlfn.RANK.EQ(C7,$C$7:$C$20,0)</f>
        <v>5</v>
      </c>
      <c r="D47" s="698">
        <f>_xlfn.RANK.EQ(D7,$D$7:$D$20,0)</f>
        <v>9</v>
      </c>
      <c r="E47" s="671"/>
      <c r="F47" s="699">
        <f>_xlfn.RANK.EQ(F7,$F$7:$F$20,0)</f>
        <v>10</v>
      </c>
      <c r="G47" s="697">
        <f>_xlfn.RANK.EQ(G7,$G$7:$G$20,0)</f>
        <v>4</v>
      </c>
      <c r="H47" s="698">
        <f>_xlfn.RANK.EQ(H7,$H$7:$H$20,0)</f>
        <v>5</v>
      </c>
      <c r="I47" s="671"/>
      <c r="J47" s="699">
        <f>_xlfn.RANK.EQ(J7,$J$7:$J$20,0)</f>
        <v>3</v>
      </c>
      <c r="K47" s="697">
        <f>_xlfn.RANK.EQ(K7,$K$7:$K$20,0)</f>
        <v>7</v>
      </c>
      <c r="L47" s="698">
        <f>_xlfn.RANK.EQ(L7,$L$7:$L$20,0)</f>
        <v>9</v>
      </c>
      <c r="M47" s="671"/>
      <c r="N47" s="699">
        <f>_xlfn.RANK.EQ(N7,$N$7:$N$20,0)</f>
        <v>9</v>
      </c>
      <c r="P47" s="665"/>
      <c r="Q47" s="472"/>
      <c r="R47" s="666"/>
    </row>
    <row r="48" spans="2:18" ht="15" customHeight="1" x14ac:dyDescent="0.2">
      <c r="B48" s="668" t="s">
        <v>307</v>
      </c>
      <c r="C48" s="697">
        <f t="shared" ref="C48:C60" si="11">_xlfn.RANK.EQ(C8,$C$7:$C$20,0)</f>
        <v>8</v>
      </c>
      <c r="D48" s="698">
        <f t="shared" ref="D48:D60" si="12">_xlfn.RANK.EQ(D8,$D$7:$D$20,0)</f>
        <v>2</v>
      </c>
      <c r="E48" s="671"/>
      <c r="F48" s="699">
        <f t="shared" ref="F48:F60" si="13">_xlfn.RANK.EQ(F8,$F$7:$F$20,0)</f>
        <v>3</v>
      </c>
      <c r="G48" s="697">
        <f t="shared" ref="G48:G60" si="14">_xlfn.RANK.EQ(G8,$G$7:$G$20,0)</f>
        <v>7</v>
      </c>
      <c r="H48" s="698">
        <f t="shared" ref="H48:H60" si="15">_xlfn.RANK.EQ(H8,$H$7:$H$20,0)</f>
        <v>4</v>
      </c>
      <c r="I48" s="671"/>
      <c r="J48" s="699">
        <f t="shared" ref="J48:J60" si="16">_xlfn.RANK.EQ(J8,$J$7:$J$20,0)</f>
        <v>5</v>
      </c>
      <c r="K48" s="697">
        <f t="shared" ref="K48:K60" si="17">_xlfn.RANK.EQ(K8,$K$7:$K$20,0)</f>
        <v>9</v>
      </c>
      <c r="L48" s="698">
        <f t="shared" ref="L48:L60" si="18">_xlfn.RANK.EQ(L8,$L$7:$L$20,0)</f>
        <v>3</v>
      </c>
      <c r="M48" s="671"/>
      <c r="N48" s="699">
        <f t="shared" ref="N48:N60" si="19">_xlfn.RANK.EQ(N8,$N$7:$N$20,0)</f>
        <v>3</v>
      </c>
      <c r="P48" s="665"/>
      <c r="Q48" s="472"/>
      <c r="R48" s="666"/>
    </row>
    <row r="49" spans="2:18" ht="15" customHeight="1" x14ac:dyDescent="0.2">
      <c r="B49" s="668" t="s">
        <v>287</v>
      </c>
      <c r="C49" s="697">
        <f t="shared" si="11"/>
        <v>4</v>
      </c>
      <c r="D49" s="698">
        <f t="shared" si="12"/>
        <v>7</v>
      </c>
      <c r="E49" s="671"/>
      <c r="F49" s="699">
        <f t="shared" si="13"/>
        <v>5</v>
      </c>
      <c r="G49" s="697">
        <f t="shared" si="14"/>
        <v>2</v>
      </c>
      <c r="H49" s="698">
        <f t="shared" si="15"/>
        <v>9</v>
      </c>
      <c r="I49" s="671"/>
      <c r="J49" s="699">
        <f t="shared" si="16"/>
        <v>6</v>
      </c>
      <c r="K49" s="697">
        <f t="shared" si="17"/>
        <v>5</v>
      </c>
      <c r="L49" s="698">
        <f t="shared" si="18"/>
        <v>7</v>
      </c>
      <c r="M49" s="671"/>
      <c r="N49" s="699">
        <f t="shared" si="19"/>
        <v>7</v>
      </c>
      <c r="P49" s="665"/>
      <c r="Q49" s="472"/>
      <c r="R49" s="666"/>
    </row>
    <row r="50" spans="2:18" ht="15" customHeight="1" x14ac:dyDescent="0.2">
      <c r="B50" s="668" t="s">
        <v>288</v>
      </c>
      <c r="C50" s="697">
        <f t="shared" si="11"/>
        <v>10</v>
      </c>
      <c r="D50" s="698">
        <f t="shared" si="12"/>
        <v>11</v>
      </c>
      <c r="E50" s="671"/>
      <c r="F50" s="699">
        <f t="shared" si="13"/>
        <v>11</v>
      </c>
      <c r="G50" s="697">
        <f t="shared" si="14"/>
        <v>9</v>
      </c>
      <c r="H50" s="698">
        <f t="shared" si="15"/>
        <v>11</v>
      </c>
      <c r="I50" s="671"/>
      <c r="J50" s="699">
        <f t="shared" si="16"/>
        <v>10</v>
      </c>
      <c r="K50" s="697">
        <f t="shared" si="17"/>
        <v>11</v>
      </c>
      <c r="L50" s="698">
        <f t="shared" si="18"/>
        <v>12</v>
      </c>
      <c r="M50" s="671"/>
      <c r="N50" s="699">
        <f t="shared" si="19"/>
        <v>11</v>
      </c>
      <c r="P50" s="665"/>
      <c r="Q50" s="472"/>
      <c r="R50" s="666"/>
    </row>
    <row r="51" spans="2:18" ht="15" customHeight="1" x14ac:dyDescent="0.2">
      <c r="B51" s="668" t="s">
        <v>305</v>
      </c>
      <c r="C51" s="697">
        <f t="shared" si="11"/>
        <v>13</v>
      </c>
      <c r="D51" s="698">
        <f t="shared" si="12"/>
        <v>14</v>
      </c>
      <c r="E51" s="671"/>
      <c r="F51" s="699">
        <f t="shared" si="13"/>
        <v>14</v>
      </c>
      <c r="G51" s="697">
        <f t="shared" si="14"/>
        <v>13</v>
      </c>
      <c r="H51" s="698">
        <f t="shared" si="15"/>
        <v>14</v>
      </c>
      <c r="I51" s="671"/>
      <c r="J51" s="699">
        <f t="shared" si="16"/>
        <v>14</v>
      </c>
      <c r="K51" s="697">
        <f t="shared" si="17"/>
        <v>14</v>
      </c>
      <c r="L51" s="698">
        <f t="shared" si="18"/>
        <v>14</v>
      </c>
      <c r="M51" s="671"/>
      <c r="N51" s="699">
        <f t="shared" si="19"/>
        <v>14</v>
      </c>
      <c r="P51" s="665"/>
      <c r="Q51" s="472"/>
      <c r="R51" s="666"/>
    </row>
    <row r="52" spans="2:18" ht="15" customHeight="1" x14ac:dyDescent="0.2">
      <c r="B52" s="668" t="s">
        <v>289</v>
      </c>
      <c r="C52" s="697">
        <f t="shared" si="11"/>
        <v>14</v>
      </c>
      <c r="D52" s="698">
        <f t="shared" si="12"/>
        <v>13</v>
      </c>
      <c r="E52" s="671"/>
      <c r="F52" s="699">
        <f t="shared" si="13"/>
        <v>13</v>
      </c>
      <c r="G52" s="697">
        <f t="shared" si="14"/>
        <v>14</v>
      </c>
      <c r="H52" s="698">
        <f t="shared" si="15"/>
        <v>13</v>
      </c>
      <c r="I52" s="671"/>
      <c r="J52" s="699">
        <f t="shared" si="16"/>
        <v>13</v>
      </c>
      <c r="K52" s="697">
        <f t="shared" si="17"/>
        <v>13</v>
      </c>
      <c r="L52" s="698">
        <f t="shared" si="18"/>
        <v>13</v>
      </c>
      <c r="M52" s="671"/>
      <c r="N52" s="699">
        <f t="shared" si="19"/>
        <v>13</v>
      </c>
      <c r="P52" s="665"/>
      <c r="Q52" s="472"/>
      <c r="R52" s="666"/>
    </row>
    <row r="53" spans="2:18" ht="15" customHeight="1" x14ac:dyDescent="0.2">
      <c r="B53" s="668" t="s">
        <v>306</v>
      </c>
      <c r="C53" s="697">
        <f t="shared" si="11"/>
        <v>11</v>
      </c>
      <c r="D53" s="698">
        <f t="shared" si="12"/>
        <v>6</v>
      </c>
      <c r="E53" s="671"/>
      <c r="F53" s="699">
        <f t="shared" si="13"/>
        <v>7</v>
      </c>
      <c r="G53" s="697">
        <f t="shared" si="14"/>
        <v>11</v>
      </c>
      <c r="H53" s="698">
        <f t="shared" si="15"/>
        <v>10</v>
      </c>
      <c r="I53" s="671"/>
      <c r="J53" s="699">
        <f t="shared" si="16"/>
        <v>11</v>
      </c>
      <c r="K53" s="697">
        <f t="shared" si="17"/>
        <v>6</v>
      </c>
      <c r="L53" s="698">
        <f t="shared" si="18"/>
        <v>4</v>
      </c>
      <c r="M53" s="671"/>
      <c r="N53" s="699">
        <f t="shared" si="19"/>
        <v>5</v>
      </c>
      <c r="P53" s="665"/>
      <c r="Q53" s="472"/>
      <c r="R53" s="666"/>
    </row>
    <row r="54" spans="2:18" ht="15" customHeight="1" x14ac:dyDescent="0.2">
      <c r="B54" s="668" t="s">
        <v>290</v>
      </c>
      <c r="C54" s="697">
        <f t="shared" si="11"/>
        <v>9</v>
      </c>
      <c r="D54" s="698">
        <f t="shared" si="12"/>
        <v>12</v>
      </c>
      <c r="E54" s="671"/>
      <c r="F54" s="699">
        <f t="shared" si="13"/>
        <v>12</v>
      </c>
      <c r="G54" s="697">
        <f t="shared" si="14"/>
        <v>10</v>
      </c>
      <c r="H54" s="698">
        <f t="shared" si="15"/>
        <v>12</v>
      </c>
      <c r="I54" s="671"/>
      <c r="J54" s="699">
        <f t="shared" si="16"/>
        <v>12</v>
      </c>
      <c r="K54" s="697">
        <f t="shared" si="17"/>
        <v>3</v>
      </c>
      <c r="L54" s="698">
        <f t="shared" si="18"/>
        <v>10</v>
      </c>
      <c r="M54" s="671"/>
      <c r="N54" s="699">
        <f t="shared" si="19"/>
        <v>10</v>
      </c>
      <c r="P54" s="665"/>
      <c r="Q54" s="472"/>
      <c r="R54" s="666"/>
    </row>
    <row r="55" spans="2:18" ht="15" customHeight="1" x14ac:dyDescent="0.2">
      <c r="B55" s="668" t="s">
        <v>291</v>
      </c>
      <c r="C55" s="697">
        <f t="shared" si="11"/>
        <v>1</v>
      </c>
      <c r="D55" s="698">
        <f t="shared" si="12"/>
        <v>10</v>
      </c>
      <c r="E55" s="671"/>
      <c r="F55" s="699">
        <f t="shared" si="13"/>
        <v>9</v>
      </c>
      <c r="G55" s="697">
        <f t="shared" si="14"/>
        <v>1</v>
      </c>
      <c r="H55" s="698">
        <f t="shared" si="15"/>
        <v>1</v>
      </c>
      <c r="I55" s="671"/>
      <c r="J55" s="699">
        <f t="shared" si="16"/>
        <v>1</v>
      </c>
      <c r="K55" s="697">
        <f t="shared" si="17"/>
        <v>12</v>
      </c>
      <c r="L55" s="698">
        <f t="shared" si="18"/>
        <v>11</v>
      </c>
      <c r="M55" s="671"/>
      <c r="N55" s="699">
        <f t="shared" si="19"/>
        <v>12</v>
      </c>
      <c r="P55" s="665"/>
      <c r="Q55" s="472"/>
      <c r="R55" s="666"/>
    </row>
    <row r="56" spans="2:18" ht="15" customHeight="1" x14ac:dyDescent="0.2">
      <c r="B56" s="668" t="s">
        <v>292</v>
      </c>
      <c r="C56" s="697">
        <f t="shared" si="11"/>
        <v>2</v>
      </c>
      <c r="D56" s="698">
        <f t="shared" si="12"/>
        <v>3</v>
      </c>
      <c r="E56" s="671"/>
      <c r="F56" s="699">
        <f t="shared" si="13"/>
        <v>2</v>
      </c>
      <c r="G56" s="697">
        <f t="shared" si="14"/>
        <v>6</v>
      </c>
      <c r="H56" s="698">
        <f t="shared" si="15"/>
        <v>8</v>
      </c>
      <c r="I56" s="671"/>
      <c r="J56" s="699">
        <f t="shared" si="16"/>
        <v>8</v>
      </c>
      <c r="K56" s="697">
        <f t="shared" si="17"/>
        <v>1</v>
      </c>
      <c r="L56" s="698">
        <f t="shared" si="18"/>
        <v>2</v>
      </c>
      <c r="M56" s="671"/>
      <c r="N56" s="699">
        <f t="shared" si="19"/>
        <v>1</v>
      </c>
      <c r="P56" s="665"/>
      <c r="Q56" s="472"/>
      <c r="R56" s="666"/>
    </row>
    <row r="57" spans="2:18" ht="15" customHeight="1" x14ac:dyDescent="0.2">
      <c r="B57" s="668" t="s">
        <v>293</v>
      </c>
      <c r="C57" s="697">
        <f t="shared" si="11"/>
        <v>12</v>
      </c>
      <c r="D57" s="698">
        <f t="shared" si="12"/>
        <v>5</v>
      </c>
      <c r="E57" s="671"/>
      <c r="F57" s="699">
        <f t="shared" si="13"/>
        <v>6</v>
      </c>
      <c r="G57" s="697">
        <f t="shared" si="14"/>
        <v>12</v>
      </c>
      <c r="H57" s="698">
        <f t="shared" si="15"/>
        <v>7</v>
      </c>
      <c r="I57" s="671"/>
      <c r="J57" s="699">
        <f t="shared" si="16"/>
        <v>9</v>
      </c>
      <c r="K57" s="697">
        <f t="shared" si="17"/>
        <v>10</v>
      </c>
      <c r="L57" s="698">
        <f t="shared" si="18"/>
        <v>6</v>
      </c>
      <c r="M57" s="671"/>
      <c r="N57" s="699">
        <f t="shared" si="19"/>
        <v>6</v>
      </c>
      <c r="P57" s="665"/>
      <c r="Q57" s="472"/>
      <c r="R57" s="666"/>
    </row>
    <row r="58" spans="2:18" ht="15" customHeight="1" x14ac:dyDescent="0.2">
      <c r="B58" s="668" t="s">
        <v>294</v>
      </c>
      <c r="C58" s="697">
        <f t="shared" si="11"/>
        <v>3</v>
      </c>
      <c r="D58" s="698">
        <f t="shared" si="12"/>
        <v>1</v>
      </c>
      <c r="E58" s="671"/>
      <c r="F58" s="699">
        <f t="shared" si="13"/>
        <v>1</v>
      </c>
      <c r="G58" s="697">
        <f t="shared" si="14"/>
        <v>3</v>
      </c>
      <c r="H58" s="698">
        <f t="shared" si="15"/>
        <v>2</v>
      </c>
      <c r="I58" s="671"/>
      <c r="J58" s="699">
        <f t="shared" si="16"/>
        <v>2</v>
      </c>
      <c r="K58" s="697">
        <f t="shared" si="17"/>
        <v>2</v>
      </c>
      <c r="L58" s="698">
        <f t="shared" si="18"/>
        <v>1</v>
      </c>
      <c r="M58" s="671"/>
      <c r="N58" s="699">
        <f t="shared" si="19"/>
        <v>2</v>
      </c>
      <c r="P58" s="665"/>
      <c r="Q58" s="472"/>
      <c r="R58" s="666"/>
    </row>
    <row r="59" spans="2:18" ht="15" customHeight="1" x14ac:dyDescent="0.2">
      <c r="B59" s="668" t="s">
        <v>295</v>
      </c>
      <c r="C59" s="697">
        <f t="shared" si="11"/>
        <v>7</v>
      </c>
      <c r="D59" s="698">
        <f t="shared" si="12"/>
        <v>4</v>
      </c>
      <c r="E59" s="671"/>
      <c r="F59" s="699">
        <f t="shared" si="13"/>
        <v>4</v>
      </c>
      <c r="G59" s="697">
        <f t="shared" si="14"/>
        <v>8</v>
      </c>
      <c r="H59" s="698">
        <f t="shared" si="15"/>
        <v>3</v>
      </c>
      <c r="I59" s="671"/>
      <c r="J59" s="699">
        <f t="shared" si="16"/>
        <v>7</v>
      </c>
      <c r="K59" s="697">
        <f t="shared" si="17"/>
        <v>4</v>
      </c>
      <c r="L59" s="698">
        <f t="shared" si="18"/>
        <v>5</v>
      </c>
      <c r="M59" s="671"/>
      <c r="N59" s="699">
        <f t="shared" si="19"/>
        <v>4</v>
      </c>
      <c r="P59" s="665"/>
      <c r="Q59" s="472"/>
      <c r="R59" s="666"/>
    </row>
    <row r="60" spans="2:18" ht="15" customHeight="1" thickBot="1" x14ac:dyDescent="0.25">
      <c r="B60" s="677" t="s">
        <v>296</v>
      </c>
      <c r="C60" s="700">
        <f t="shared" si="11"/>
        <v>6</v>
      </c>
      <c r="D60" s="701">
        <f t="shared" si="12"/>
        <v>8</v>
      </c>
      <c r="E60" s="680"/>
      <c r="F60" s="702">
        <f t="shared" si="13"/>
        <v>8</v>
      </c>
      <c r="G60" s="700">
        <f t="shared" si="14"/>
        <v>5</v>
      </c>
      <c r="H60" s="701">
        <f t="shared" si="15"/>
        <v>6</v>
      </c>
      <c r="I60" s="680"/>
      <c r="J60" s="702">
        <f t="shared" si="16"/>
        <v>4</v>
      </c>
      <c r="K60" s="700">
        <f t="shared" si="17"/>
        <v>8</v>
      </c>
      <c r="L60" s="701">
        <f t="shared" si="18"/>
        <v>8</v>
      </c>
      <c r="M60" s="680"/>
      <c r="N60" s="702">
        <f t="shared" si="19"/>
        <v>8</v>
      </c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 t="s">
        <v>753</v>
      </c>
      <c r="C63" s="1002" t="s">
        <v>76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520</v>
      </c>
      <c r="Q63" s="996"/>
      <c r="R63" s="998"/>
    </row>
    <row r="64" spans="2:18" ht="15" customHeight="1" x14ac:dyDescent="0.2">
      <c r="B64" s="1000"/>
      <c r="C64" s="653" t="s">
        <v>78</v>
      </c>
      <c r="D64" s="653" t="s">
        <v>309</v>
      </c>
      <c r="E64" s="653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 t="s">
        <v>757</v>
      </c>
      <c r="D65" s="654" t="s">
        <v>757</v>
      </c>
      <c r="E65" s="655" t="s">
        <v>82</v>
      </c>
      <c r="F65" s="694" t="s">
        <v>757</v>
      </c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 t="s">
        <v>721</v>
      </c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 t="s">
        <v>286</v>
      </c>
      <c r="C67" s="697">
        <f>_xlfn.RANK.EQ(C27,$C$27:$C$40,0)</f>
        <v>3</v>
      </c>
      <c r="D67" s="698">
        <f>_xlfn.RANK.EQ(D27,$D$27:$D$40,0)</f>
        <v>3</v>
      </c>
      <c r="E67" s="671"/>
      <c r="F67" s="699">
        <f>_xlfn.RANK.EQ(F27,$F$27:$F$40,0)</f>
        <v>3</v>
      </c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 t="s">
        <v>307</v>
      </c>
      <c r="C68" s="697">
        <f t="shared" ref="C68:C80" si="20">_xlfn.RANK.EQ(C28,$C$27:$C$40,0)</f>
        <v>6</v>
      </c>
      <c r="D68" s="698">
        <f t="shared" ref="D68:D80" si="21">_xlfn.RANK.EQ(D28,$D$27:$D$40,0)</f>
        <v>5</v>
      </c>
      <c r="E68" s="671"/>
      <c r="F68" s="699">
        <f t="shared" ref="F68:F80" si="22">_xlfn.RANK.EQ(F28,$F$27:$F$40,0)</f>
        <v>5</v>
      </c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 t="s">
        <v>287</v>
      </c>
      <c r="C69" s="697">
        <f t="shared" si="20"/>
        <v>5</v>
      </c>
      <c r="D69" s="698">
        <f t="shared" si="21"/>
        <v>4</v>
      </c>
      <c r="E69" s="671"/>
      <c r="F69" s="699">
        <f t="shared" si="22"/>
        <v>4</v>
      </c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 t="s">
        <v>288</v>
      </c>
      <c r="C70" s="697">
        <f t="shared" si="20"/>
        <v>8</v>
      </c>
      <c r="D70" s="698">
        <f t="shared" si="21"/>
        <v>11</v>
      </c>
      <c r="E70" s="671"/>
      <c r="F70" s="699">
        <f t="shared" si="22"/>
        <v>10</v>
      </c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 t="s">
        <v>305</v>
      </c>
      <c r="C71" s="697">
        <f t="shared" si="20"/>
        <v>13</v>
      </c>
      <c r="D71" s="698">
        <f t="shared" si="21"/>
        <v>14</v>
      </c>
      <c r="E71" s="671"/>
      <c r="F71" s="699">
        <f t="shared" si="22"/>
        <v>14</v>
      </c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 t="s">
        <v>289</v>
      </c>
      <c r="C72" s="697">
        <f t="shared" si="20"/>
        <v>14</v>
      </c>
      <c r="D72" s="698">
        <f t="shared" si="21"/>
        <v>13</v>
      </c>
      <c r="E72" s="671"/>
      <c r="F72" s="699">
        <f t="shared" si="22"/>
        <v>13</v>
      </c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 t="s">
        <v>306</v>
      </c>
      <c r="C73" s="697">
        <f t="shared" si="20"/>
        <v>12</v>
      </c>
      <c r="D73" s="698">
        <f t="shared" si="21"/>
        <v>6</v>
      </c>
      <c r="E73" s="671"/>
      <c r="F73" s="699">
        <f t="shared" si="22"/>
        <v>9</v>
      </c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 t="s">
        <v>290</v>
      </c>
      <c r="C74" s="697">
        <f t="shared" si="20"/>
        <v>11</v>
      </c>
      <c r="D74" s="698">
        <f t="shared" si="21"/>
        <v>12</v>
      </c>
      <c r="E74" s="671"/>
      <c r="F74" s="699">
        <f t="shared" si="22"/>
        <v>12</v>
      </c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 t="s">
        <v>291</v>
      </c>
      <c r="C75" s="697">
        <f t="shared" si="20"/>
        <v>1</v>
      </c>
      <c r="D75" s="698">
        <f t="shared" si="21"/>
        <v>2</v>
      </c>
      <c r="E75" s="671"/>
      <c r="F75" s="699">
        <f t="shared" si="22"/>
        <v>1</v>
      </c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 t="s">
        <v>292</v>
      </c>
      <c r="C76" s="697">
        <f t="shared" si="20"/>
        <v>7</v>
      </c>
      <c r="D76" s="698">
        <f t="shared" si="21"/>
        <v>8</v>
      </c>
      <c r="E76" s="671"/>
      <c r="F76" s="699">
        <f t="shared" si="22"/>
        <v>7</v>
      </c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 t="s">
        <v>293</v>
      </c>
      <c r="C77" s="697">
        <f t="shared" si="20"/>
        <v>10</v>
      </c>
      <c r="D77" s="698">
        <f t="shared" si="21"/>
        <v>7</v>
      </c>
      <c r="E77" s="671"/>
      <c r="F77" s="699">
        <f t="shared" si="22"/>
        <v>8</v>
      </c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 t="s">
        <v>294</v>
      </c>
      <c r="C78" s="697">
        <f t="shared" si="20"/>
        <v>9</v>
      </c>
      <c r="D78" s="698">
        <f t="shared" si="21"/>
        <v>9</v>
      </c>
      <c r="E78" s="671"/>
      <c r="F78" s="699">
        <f t="shared" si="22"/>
        <v>11</v>
      </c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 t="s">
        <v>295</v>
      </c>
      <c r="C79" s="697">
        <f t="shared" si="20"/>
        <v>4</v>
      </c>
      <c r="D79" s="698">
        <f t="shared" si="21"/>
        <v>10</v>
      </c>
      <c r="E79" s="671"/>
      <c r="F79" s="699">
        <f t="shared" si="22"/>
        <v>6</v>
      </c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 t="s">
        <v>296</v>
      </c>
      <c r="C80" s="700">
        <f t="shared" si="20"/>
        <v>2</v>
      </c>
      <c r="D80" s="701">
        <f t="shared" si="21"/>
        <v>1</v>
      </c>
      <c r="E80" s="680"/>
      <c r="F80" s="702">
        <f t="shared" si="22"/>
        <v>2</v>
      </c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20"/>
  <sheetViews>
    <sheetView zoomScaleNormal="10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7" width="12.625" customWidth="1"/>
  </cols>
  <sheetData>
    <row r="3" spans="2:7" ht="15" customHeight="1" x14ac:dyDescent="0.2">
      <c r="B3" s="1158" t="s">
        <v>753</v>
      </c>
      <c r="C3" s="1160" t="s">
        <v>839</v>
      </c>
      <c r="D3" s="1160"/>
      <c r="E3" s="1160"/>
      <c r="F3" s="1161"/>
      <c r="G3" s="691"/>
    </row>
    <row r="4" spans="2:7" ht="15" customHeight="1" x14ac:dyDescent="0.2">
      <c r="B4" s="1159"/>
      <c r="C4" s="964" t="s">
        <v>78</v>
      </c>
      <c r="D4" s="964" t="s">
        <v>309</v>
      </c>
      <c r="E4" s="964"/>
      <c r="F4" s="965" t="s">
        <v>80</v>
      </c>
      <c r="G4" s="693"/>
    </row>
    <row r="5" spans="2:7" ht="15" customHeight="1" x14ac:dyDescent="0.2">
      <c r="B5" s="1159"/>
      <c r="C5" s="964" t="s">
        <v>841</v>
      </c>
      <c r="D5" s="964" t="s">
        <v>841</v>
      </c>
      <c r="E5" s="966" t="s">
        <v>82</v>
      </c>
      <c r="F5" s="965" t="s">
        <v>841</v>
      </c>
      <c r="G5" s="693"/>
    </row>
    <row r="6" spans="2:7" ht="15" customHeight="1" x14ac:dyDescent="0.2">
      <c r="B6" s="967" t="s">
        <v>721</v>
      </c>
      <c r="C6" s="968">
        <v>1086.856</v>
      </c>
      <c r="D6" s="969">
        <v>114759.10264065789</v>
      </c>
      <c r="E6" s="970">
        <v>2.4594095309913326</v>
      </c>
      <c r="F6" s="971">
        <f t="shared" ref="F6:F20" si="0">C6+D6</f>
        <v>115845.95864065789</v>
      </c>
      <c r="G6" s="664"/>
    </row>
    <row r="7" spans="2:7" ht="15" customHeight="1" x14ac:dyDescent="0.2">
      <c r="B7" s="972" t="s">
        <v>286</v>
      </c>
      <c r="C7" s="973">
        <v>141.38499999999999</v>
      </c>
      <c r="D7" s="974">
        <v>5867.5015619958103</v>
      </c>
      <c r="E7" s="975">
        <v>8.8402201246109708</v>
      </c>
      <c r="F7" s="976">
        <f t="shared" si="0"/>
        <v>6008.8865619958106</v>
      </c>
      <c r="G7" s="672"/>
    </row>
    <row r="8" spans="2:7" ht="15" customHeight="1" x14ac:dyDescent="0.2">
      <c r="B8" s="972" t="s">
        <v>307</v>
      </c>
      <c r="C8" s="973">
        <v>7.718</v>
      </c>
      <c r="D8" s="974">
        <v>11721.5496583526</v>
      </c>
      <c r="E8" s="975">
        <v>7.5830305775470297</v>
      </c>
      <c r="F8" s="976">
        <f t="shared" si="0"/>
        <v>11729.267658352601</v>
      </c>
      <c r="G8" s="672"/>
    </row>
    <row r="9" spans="2:7" ht="15" customHeight="1" x14ac:dyDescent="0.2">
      <c r="B9" s="972" t="s">
        <v>287</v>
      </c>
      <c r="C9" s="973">
        <v>43.26</v>
      </c>
      <c r="D9" s="974">
        <v>9666.9249003334007</v>
      </c>
      <c r="E9" s="975">
        <v>8.32253285549662</v>
      </c>
      <c r="F9" s="976">
        <f t="shared" si="0"/>
        <v>9710.1849003334009</v>
      </c>
      <c r="G9" s="672"/>
    </row>
    <row r="10" spans="2:7" ht="15" customHeight="1" x14ac:dyDescent="0.2">
      <c r="B10" s="972" t="s">
        <v>288</v>
      </c>
      <c r="C10" s="973">
        <v>39.130000000000003</v>
      </c>
      <c r="D10" s="974">
        <v>4180.77946987018</v>
      </c>
      <c r="E10" s="975">
        <v>13.833859504847</v>
      </c>
      <c r="F10" s="976">
        <f t="shared" si="0"/>
        <v>4219.9094698701801</v>
      </c>
      <c r="G10" s="672"/>
    </row>
    <row r="11" spans="2:7" ht="15" customHeight="1" x14ac:dyDescent="0.2">
      <c r="B11" s="972" t="s">
        <v>305</v>
      </c>
      <c r="C11" s="973">
        <v>10.266</v>
      </c>
      <c r="D11" s="974">
        <v>2535.9825544893301</v>
      </c>
      <c r="E11" s="975">
        <v>21.8915724752428</v>
      </c>
      <c r="F11" s="976">
        <f t="shared" si="0"/>
        <v>2546.2485544893302</v>
      </c>
      <c r="G11" s="672"/>
    </row>
    <row r="12" spans="2:7" ht="15" customHeight="1" x14ac:dyDescent="0.2">
      <c r="B12" s="972" t="s">
        <v>289</v>
      </c>
      <c r="C12" s="973">
        <v>2.1800000000000002</v>
      </c>
      <c r="D12" s="974">
        <v>2933.6946766623601</v>
      </c>
      <c r="E12" s="975">
        <v>22.819562761826301</v>
      </c>
      <c r="F12" s="976">
        <f t="shared" si="0"/>
        <v>2935.8746766623599</v>
      </c>
      <c r="G12" s="672"/>
    </row>
    <row r="13" spans="2:7" ht="15" customHeight="1" x14ac:dyDescent="0.2">
      <c r="B13" s="972" t="s">
        <v>306</v>
      </c>
      <c r="C13" s="973">
        <v>41.787999999999997</v>
      </c>
      <c r="D13" s="974">
        <v>7635.2705771139099</v>
      </c>
      <c r="E13" s="975">
        <v>9.5529459434836195</v>
      </c>
      <c r="F13" s="976">
        <f t="shared" si="0"/>
        <v>7677.0585771139095</v>
      </c>
      <c r="G13" s="672"/>
    </row>
    <row r="14" spans="2:7" ht="15" customHeight="1" x14ac:dyDescent="0.2">
      <c r="B14" s="972" t="s">
        <v>290</v>
      </c>
      <c r="C14" s="973">
        <v>69.602000000000004</v>
      </c>
      <c r="D14" s="974">
        <v>4888.4995181294598</v>
      </c>
      <c r="E14" s="975">
        <v>10.7492845161399</v>
      </c>
      <c r="F14" s="976">
        <f t="shared" si="0"/>
        <v>4958.1015181294597</v>
      </c>
      <c r="G14" s="672"/>
    </row>
    <row r="15" spans="2:7" ht="15" customHeight="1" x14ac:dyDescent="0.2">
      <c r="B15" s="972" t="s">
        <v>291</v>
      </c>
      <c r="C15" s="973">
        <v>236.78200000000001</v>
      </c>
      <c r="D15" s="974">
        <v>4074.0796006648297</v>
      </c>
      <c r="E15" s="975">
        <v>13.357929108821301</v>
      </c>
      <c r="F15" s="976">
        <f t="shared" si="0"/>
        <v>4310.8616006648299</v>
      </c>
      <c r="G15" s="672"/>
    </row>
    <row r="16" spans="2:7" ht="15" customHeight="1" x14ac:dyDescent="0.2">
      <c r="B16" s="972" t="s">
        <v>292</v>
      </c>
      <c r="C16" s="973">
        <v>78.634</v>
      </c>
      <c r="D16" s="974">
        <v>12663.885227889699</v>
      </c>
      <c r="E16" s="975">
        <v>5.6790246614393398</v>
      </c>
      <c r="F16" s="976">
        <f t="shared" si="0"/>
        <v>12742.519227889699</v>
      </c>
      <c r="G16" s="672"/>
    </row>
    <row r="17" spans="2:7" ht="15" customHeight="1" x14ac:dyDescent="0.2">
      <c r="B17" s="972" t="s">
        <v>293</v>
      </c>
      <c r="C17" s="973">
        <v>12.712999999999999</v>
      </c>
      <c r="D17" s="974">
        <v>10061.2900575969</v>
      </c>
      <c r="E17" s="975">
        <v>6.5746731773011602</v>
      </c>
      <c r="F17" s="976">
        <f t="shared" si="0"/>
        <v>10074.003057596899</v>
      </c>
      <c r="G17" s="672"/>
    </row>
    <row r="18" spans="2:7" ht="15" customHeight="1" x14ac:dyDescent="0.2">
      <c r="B18" s="972" t="s">
        <v>294</v>
      </c>
      <c r="C18" s="973">
        <v>65.744</v>
      </c>
      <c r="D18" s="974">
        <v>13488.2501224513</v>
      </c>
      <c r="E18" s="975">
        <v>7.0093250820709798</v>
      </c>
      <c r="F18" s="976">
        <f t="shared" si="0"/>
        <v>13553.9941224513</v>
      </c>
      <c r="G18" s="672"/>
    </row>
    <row r="19" spans="2:7" ht="15" customHeight="1" x14ac:dyDescent="0.2">
      <c r="B19" s="972" t="s">
        <v>295</v>
      </c>
      <c r="C19" s="973">
        <v>227.90199999999999</v>
      </c>
      <c r="D19" s="974">
        <v>17486.470627963598</v>
      </c>
      <c r="E19" s="975">
        <v>8.0438832585913396</v>
      </c>
      <c r="F19" s="976">
        <f t="shared" si="0"/>
        <v>17714.372627963596</v>
      </c>
      <c r="G19" s="672"/>
    </row>
    <row r="20" spans="2:7" ht="15" customHeight="1" x14ac:dyDescent="0.2">
      <c r="B20" s="977" t="s">
        <v>296</v>
      </c>
      <c r="C20" s="978">
        <v>109.752</v>
      </c>
      <c r="D20" s="979">
        <v>7554.9240871444799</v>
      </c>
      <c r="E20" s="980">
        <v>6.4465217145378402</v>
      </c>
      <c r="F20" s="981">
        <f t="shared" si="0"/>
        <v>7664.6760871444803</v>
      </c>
      <c r="G20" s="672"/>
    </row>
    <row r="23" spans="2:7" ht="15" customHeight="1" x14ac:dyDescent="0.2">
      <c r="B23" s="1158" t="s">
        <v>753</v>
      </c>
      <c r="C23" s="1160" t="s">
        <v>842</v>
      </c>
      <c r="D23" s="1160"/>
      <c r="E23" s="1160"/>
      <c r="F23" s="1161"/>
      <c r="G23" s="690"/>
    </row>
    <row r="24" spans="2:7" ht="15" customHeight="1" x14ac:dyDescent="0.2">
      <c r="B24" s="1159"/>
      <c r="C24" s="964" t="s">
        <v>78</v>
      </c>
      <c r="D24" s="964" t="s">
        <v>309</v>
      </c>
      <c r="E24" s="964"/>
      <c r="F24" s="965" t="s">
        <v>80</v>
      </c>
      <c r="G24" s="693"/>
    </row>
    <row r="25" spans="2:7" ht="15" customHeight="1" x14ac:dyDescent="0.2">
      <c r="B25" s="1159"/>
      <c r="C25" s="964" t="s">
        <v>844</v>
      </c>
      <c r="D25" s="964" t="s">
        <v>844</v>
      </c>
      <c r="E25" s="966" t="s">
        <v>82</v>
      </c>
      <c r="F25" s="965" t="s">
        <v>844</v>
      </c>
      <c r="G25" s="693"/>
    </row>
    <row r="26" spans="2:7" ht="15" customHeight="1" x14ac:dyDescent="0.2">
      <c r="B26" s="967" t="s">
        <v>721</v>
      </c>
      <c r="C26" s="982">
        <v>4.234</v>
      </c>
      <c r="D26" s="983">
        <v>273.7048505593342</v>
      </c>
      <c r="E26" s="970">
        <v>1.8212735686694925</v>
      </c>
      <c r="F26" s="984">
        <f t="shared" ref="F26:F40" si="1">C26+D26</f>
        <v>277.93885055933418</v>
      </c>
      <c r="G26" s="664"/>
    </row>
    <row r="27" spans="2:7" ht="15" customHeight="1" x14ac:dyDescent="0.2">
      <c r="B27" s="972" t="s">
        <v>286</v>
      </c>
      <c r="C27" s="985">
        <v>0.38700000000000001</v>
      </c>
      <c r="D27" s="986">
        <v>17.459329751634701</v>
      </c>
      <c r="E27" s="975">
        <v>6.6761263737734602</v>
      </c>
      <c r="F27" s="987">
        <f t="shared" si="1"/>
        <v>17.846329751634702</v>
      </c>
      <c r="G27" s="672"/>
    </row>
    <row r="28" spans="2:7" ht="15" customHeight="1" x14ac:dyDescent="0.2">
      <c r="B28" s="972" t="s">
        <v>307</v>
      </c>
      <c r="C28" s="985">
        <v>2.8000000000000001E-2</v>
      </c>
      <c r="D28" s="986">
        <v>25.305731092109902</v>
      </c>
      <c r="E28" s="975">
        <v>5.6820514049774404</v>
      </c>
      <c r="F28" s="987">
        <f t="shared" si="1"/>
        <v>25.3337310921099</v>
      </c>
      <c r="G28" s="672"/>
    </row>
    <row r="29" spans="2:7" ht="15" customHeight="1" x14ac:dyDescent="0.2">
      <c r="B29" s="972" t="s">
        <v>287</v>
      </c>
      <c r="C29" s="985">
        <v>0.40100000000000002</v>
      </c>
      <c r="D29" s="986">
        <v>28.494523067047098</v>
      </c>
      <c r="E29" s="975">
        <v>6.2958932811420398</v>
      </c>
      <c r="F29" s="987">
        <f t="shared" si="1"/>
        <v>28.895523067047097</v>
      </c>
      <c r="G29" s="672"/>
    </row>
    <row r="30" spans="2:7" ht="15" customHeight="1" x14ac:dyDescent="0.2">
      <c r="B30" s="972" t="s">
        <v>288</v>
      </c>
      <c r="C30" s="985">
        <v>0.157</v>
      </c>
      <c r="D30" s="986">
        <v>11.2695117076226</v>
      </c>
      <c r="E30" s="975">
        <v>9.6930177338276593</v>
      </c>
      <c r="F30" s="987">
        <f t="shared" si="1"/>
        <v>11.4265117076226</v>
      </c>
      <c r="G30" s="672"/>
    </row>
    <row r="31" spans="2:7" ht="15" customHeight="1" x14ac:dyDescent="0.2">
      <c r="B31" s="972" t="s">
        <v>305</v>
      </c>
      <c r="C31" s="985">
        <v>5.6000000000000001E-2</v>
      </c>
      <c r="D31" s="986">
        <v>5.7183891987923099</v>
      </c>
      <c r="E31" s="975">
        <v>16.136205282266101</v>
      </c>
      <c r="F31" s="987">
        <f t="shared" si="1"/>
        <v>5.7743891987923099</v>
      </c>
      <c r="G31" s="672"/>
    </row>
    <row r="32" spans="2:7" ht="15" customHeight="1" x14ac:dyDescent="0.2">
      <c r="B32" s="972" t="s">
        <v>289</v>
      </c>
      <c r="C32" s="985">
        <v>8.9999999999999993E-3</v>
      </c>
      <c r="D32" s="986">
        <v>7.5571490182585404</v>
      </c>
      <c r="E32" s="975">
        <v>14.3759087659363</v>
      </c>
      <c r="F32" s="987">
        <f t="shared" si="1"/>
        <v>7.5661490182585407</v>
      </c>
      <c r="G32" s="672"/>
    </row>
    <row r="33" spans="2:7" ht="15" customHeight="1" x14ac:dyDescent="0.2">
      <c r="B33" s="972" t="s">
        <v>306</v>
      </c>
      <c r="C33" s="985">
        <v>0.127</v>
      </c>
      <c r="D33" s="986">
        <v>17.2653539002652</v>
      </c>
      <c r="E33" s="975">
        <v>8.3886922574502591</v>
      </c>
      <c r="F33" s="987">
        <f t="shared" si="1"/>
        <v>17.392353900265199</v>
      </c>
      <c r="G33" s="672"/>
    </row>
    <row r="34" spans="2:7" ht="15" customHeight="1" x14ac:dyDescent="0.2">
      <c r="B34" s="972" t="s">
        <v>290</v>
      </c>
      <c r="C34" s="985">
        <v>0.26100000000000001</v>
      </c>
      <c r="D34" s="986">
        <v>11.5522398536169</v>
      </c>
      <c r="E34" s="975">
        <v>7.7942249433863999</v>
      </c>
      <c r="F34" s="987">
        <f t="shared" si="1"/>
        <v>11.813239853616899</v>
      </c>
      <c r="G34" s="672"/>
    </row>
    <row r="35" spans="2:7" ht="15" customHeight="1" x14ac:dyDescent="0.2">
      <c r="B35" s="972" t="s">
        <v>291</v>
      </c>
      <c r="C35" s="985">
        <v>0.68300000000000005</v>
      </c>
      <c r="D35" s="986">
        <v>11.9323942821653</v>
      </c>
      <c r="E35" s="975">
        <v>11.113093757969899</v>
      </c>
      <c r="F35" s="987">
        <f t="shared" si="1"/>
        <v>12.615394282165299</v>
      </c>
      <c r="G35" s="672"/>
    </row>
    <row r="36" spans="2:7" ht="15" customHeight="1" x14ac:dyDescent="0.2">
      <c r="B36" s="972" t="s">
        <v>292</v>
      </c>
      <c r="C36" s="985">
        <v>0.307</v>
      </c>
      <c r="D36" s="986">
        <v>29.750088961079399</v>
      </c>
      <c r="E36" s="975">
        <v>4.1393519637957903</v>
      </c>
      <c r="F36" s="987">
        <f t="shared" si="1"/>
        <v>30.057088961079398</v>
      </c>
      <c r="G36" s="672"/>
    </row>
    <row r="37" spans="2:7" ht="15" customHeight="1" x14ac:dyDescent="0.2">
      <c r="B37" s="972" t="s">
        <v>293</v>
      </c>
      <c r="C37" s="985">
        <v>0.05</v>
      </c>
      <c r="D37" s="986">
        <v>22.2059404978435</v>
      </c>
      <c r="E37" s="975">
        <v>5.1608519607439396</v>
      </c>
      <c r="F37" s="987">
        <f t="shared" si="1"/>
        <v>22.2559404978435</v>
      </c>
      <c r="G37" s="672"/>
    </row>
    <row r="38" spans="2:7" ht="15" customHeight="1" x14ac:dyDescent="0.2">
      <c r="B38" s="972" t="s">
        <v>294</v>
      </c>
      <c r="C38" s="985">
        <v>0.28999999999999998</v>
      </c>
      <c r="D38" s="986">
        <v>29.627121243886798</v>
      </c>
      <c r="E38" s="975">
        <v>5.2635515489250002</v>
      </c>
      <c r="F38" s="987">
        <f t="shared" si="1"/>
        <v>29.917121243886797</v>
      </c>
      <c r="G38" s="672"/>
    </row>
    <row r="39" spans="2:7" ht="15" customHeight="1" x14ac:dyDescent="0.2">
      <c r="B39" s="972" t="s">
        <v>295</v>
      </c>
      <c r="C39" s="985">
        <v>1.0249999999999999</v>
      </c>
      <c r="D39" s="986">
        <v>33.639646942514702</v>
      </c>
      <c r="E39" s="975">
        <v>5.7477020118280597</v>
      </c>
      <c r="F39" s="987">
        <f t="shared" si="1"/>
        <v>34.6646469425147</v>
      </c>
      <c r="G39" s="672"/>
    </row>
    <row r="40" spans="2:7" ht="15" customHeight="1" x14ac:dyDescent="0.2">
      <c r="B40" s="977" t="s">
        <v>296</v>
      </c>
      <c r="C40" s="988">
        <v>0.45300000000000001</v>
      </c>
      <c r="D40" s="989">
        <v>21.9274310424973</v>
      </c>
      <c r="E40" s="980">
        <v>5.2254768416344204</v>
      </c>
      <c r="F40" s="990">
        <f t="shared" si="1"/>
        <v>22.3804310424973</v>
      </c>
      <c r="G40" s="672"/>
    </row>
    <row r="43" spans="2:7" ht="15" customHeight="1" x14ac:dyDescent="0.2">
      <c r="B43" s="1158" t="s">
        <v>753</v>
      </c>
      <c r="C43" s="1160" t="s">
        <v>849</v>
      </c>
      <c r="D43" s="1160"/>
      <c r="E43" s="1160"/>
      <c r="F43" s="1161"/>
      <c r="G43" s="690"/>
    </row>
    <row r="44" spans="2:7" ht="15" customHeight="1" x14ac:dyDescent="0.2">
      <c r="B44" s="1159"/>
      <c r="C44" s="964" t="s">
        <v>78</v>
      </c>
      <c r="D44" s="964" t="s">
        <v>309</v>
      </c>
      <c r="E44" s="964"/>
      <c r="F44" s="965" t="s">
        <v>80</v>
      </c>
      <c r="G44" s="693"/>
    </row>
    <row r="45" spans="2:7" ht="15" customHeight="1" x14ac:dyDescent="0.2">
      <c r="B45" s="1159"/>
      <c r="C45" s="964" t="s">
        <v>841</v>
      </c>
      <c r="D45" s="964" t="s">
        <v>841</v>
      </c>
      <c r="E45" s="966" t="s">
        <v>82</v>
      </c>
      <c r="F45" s="965" t="s">
        <v>841</v>
      </c>
      <c r="G45" s="693"/>
    </row>
    <row r="46" spans="2:7" ht="15" customHeight="1" x14ac:dyDescent="0.2">
      <c r="B46" s="967" t="s">
        <v>721</v>
      </c>
      <c r="C46" s="968">
        <v>908.27300000000002</v>
      </c>
      <c r="D46" s="969">
        <v>19493.425182449955</v>
      </c>
      <c r="E46" s="970">
        <v>6.2536938661027861</v>
      </c>
      <c r="F46" s="971">
        <f t="shared" ref="F46:F60" si="2">C46+D46</f>
        <v>20401.698182449956</v>
      </c>
      <c r="G46" s="664"/>
    </row>
    <row r="47" spans="2:7" ht="15" customHeight="1" x14ac:dyDescent="0.2">
      <c r="B47" s="972" t="s">
        <v>286</v>
      </c>
      <c r="C47" s="973">
        <v>140.07499999999999</v>
      </c>
      <c r="D47" s="974">
        <v>1943.5844448438202</v>
      </c>
      <c r="E47" s="975">
        <v>17.141759729805901</v>
      </c>
      <c r="F47" s="976">
        <f t="shared" si="2"/>
        <v>2083.65944484382</v>
      </c>
      <c r="G47" s="672"/>
    </row>
    <row r="48" spans="2:7" ht="15" customHeight="1" x14ac:dyDescent="0.2">
      <c r="B48" s="972" t="s">
        <v>307</v>
      </c>
      <c r="C48" s="973">
        <v>7.5179999999999998</v>
      </c>
      <c r="D48" s="974">
        <v>2283.4638052418504</v>
      </c>
      <c r="E48" s="975">
        <v>14.159882092344199</v>
      </c>
      <c r="F48" s="976">
        <f t="shared" si="2"/>
        <v>2290.9818052418505</v>
      </c>
      <c r="G48" s="672"/>
    </row>
    <row r="49" spans="2:7" ht="15" customHeight="1" x14ac:dyDescent="0.2">
      <c r="B49" s="972" t="s">
        <v>287</v>
      </c>
      <c r="C49" s="973">
        <v>32.81</v>
      </c>
      <c r="D49" s="974">
        <v>703.86939129861003</v>
      </c>
      <c r="E49" s="975">
        <v>24.378232496293901</v>
      </c>
      <c r="F49" s="976">
        <f t="shared" si="2"/>
        <v>736.67939129860997</v>
      </c>
      <c r="G49" s="672"/>
    </row>
    <row r="50" spans="2:7" ht="15" customHeight="1" x14ac:dyDescent="0.2">
      <c r="B50" s="972" t="s">
        <v>288</v>
      </c>
      <c r="C50" s="973">
        <v>34.185000000000002</v>
      </c>
      <c r="D50" s="974">
        <v>746.00912357929394</v>
      </c>
      <c r="E50" s="975">
        <v>34.261397462141701</v>
      </c>
      <c r="F50" s="976">
        <f t="shared" si="2"/>
        <v>780.194123579294</v>
      </c>
      <c r="G50" s="672"/>
    </row>
    <row r="51" spans="2:7" ht="15" customHeight="1" x14ac:dyDescent="0.2">
      <c r="B51" s="972" t="s">
        <v>305</v>
      </c>
      <c r="C51" s="973">
        <v>3.7480000000000002</v>
      </c>
      <c r="D51" s="974">
        <v>181.85684500327</v>
      </c>
      <c r="E51" s="975">
        <v>51.6342245339847</v>
      </c>
      <c r="F51" s="976">
        <f t="shared" si="2"/>
        <v>185.60484500326999</v>
      </c>
      <c r="G51" s="672"/>
    </row>
    <row r="52" spans="2:7" ht="15" customHeight="1" x14ac:dyDescent="0.2">
      <c r="B52" s="972" t="s">
        <v>289</v>
      </c>
      <c r="C52" s="973">
        <v>1.925</v>
      </c>
      <c r="D52" s="974">
        <v>205.048975213451</v>
      </c>
      <c r="E52" s="975">
        <v>43.709813602072799</v>
      </c>
      <c r="F52" s="976">
        <f t="shared" si="2"/>
        <v>206.97397521345101</v>
      </c>
      <c r="G52" s="672"/>
    </row>
    <row r="53" spans="2:7" ht="15" customHeight="1" x14ac:dyDescent="0.2">
      <c r="B53" s="972" t="s">
        <v>306</v>
      </c>
      <c r="C53" s="973">
        <v>39.985999999999997</v>
      </c>
      <c r="D53" s="974">
        <v>704.41826501128992</v>
      </c>
      <c r="E53" s="975">
        <v>33.167328110092498</v>
      </c>
      <c r="F53" s="976">
        <f t="shared" si="2"/>
        <v>744.40426501128991</v>
      </c>
      <c r="G53" s="672"/>
    </row>
    <row r="54" spans="2:7" ht="15" customHeight="1" x14ac:dyDescent="0.2">
      <c r="B54" s="972" t="s">
        <v>290</v>
      </c>
      <c r="C54" s="973">
        <v>58.552999999999997</v>
      </c>
      <c r="D54" s="974">
        <v>193.44955397452802</v>
      </c>
      <c r="E54" s="975">
        <v>30.485722325603799</v>
      </c>
      <c r="F54" s="976">
        <f t="shared" si="2"/>
        <v>252.00255397452801</v>
      </c>
      <c r="G54" s="672"/>
    </row>
    <row r="55" spans="2:7" ht="15" customHeight="1" x14ac:dyDescent="0.2">
      <c r="B55" s="972" t="s">
        <v>291</v>
      </c>
      <c r="C55" s="973">
        <v>228.721</v>
      </c>
      <c r="D55" s="974">
        <v>1589.25594897781</v>
      </c>
      <c r="E55" s="975">
        <v>27.036592215103699</v>
      </c>
      <c r="F55" s="976">
        <f t="shared" si="2"/>
        <v>1817.97694897781</v>
      </c>
      <c r="G55" s="672"/>
    </row>
    <row r="56" spans="2:7" ht="15" customHeight="1" x14ac:dyDescent="0.2">
      <c r="B56" s="972" t="s">
        <v>292</v>
      </c>
      <c r="C56" s="973">
        <v>67.268000000000001</v>
      </c>
      <c r="D56" s="974">
        <v>1423.6310772207801</v>
      </c>
      <c r="E56" s="975">
        <v>16.6564066001926</v>
      </c>
      <c r="F56" s="976">
        <f t="shared" si="2"/>
        <v>1490.8990772207801</v>
      </c>
      <c r="G56" s="672"/>
    </row>
    <row r="57" spans="2:7" ht="15" customHeight="1" x14ac:dyDescent="0.2">
      <c r="B57" s="972" t="s">
        <v>293</v>
      </c>
      <c r="C57" s="973">
        <v>12.196999999999999</v>
      </c>
      <c r="D57" s="974">
        <v>1383.55273962412</v>
      </c>
      <c r="E57" s="975">
        <v>18.9371216620574</v>
      </c>
      <c r="F57" s="976">
        <f t="shared" si="2"/>
        <v>1395.7497396241199</v>
      </c>
      <c r="G57" s="672"/>
    </row>
    <row r="58" spans="2:7" ht="15" customHeight="1" x14ac:dyDescent="0.2">
      <c r="B58" s="972" t="s">
        <v>294</v>
      </c>
      <c r="C58" s="973">
        <v>50.926000000000002</v>
      </c>
      <c r="D58" s="974">
        <v>2784.0635993022602</v>
      </c>
      <c r="E58" s="975">
        <v>19.028285984115101</v>
      </c>
      <c r="F58" s="976">
        <f t="shared" si="2"/>
        <v>2834.9895993022601</v>
      </c>
      <c r="G58" s="672"/>
    </row>
    <row r="59" spans="2:7" ht="15" customHeight="1" x14ac:dyDescent="0.2">
      <c r="B59" s="972" t="s">
        <v>295</v>
      </c>
      <c r="C59" s="973">
        <v>122.619</v>
      </c>
      <c r="D59" s="974">
        <v>3690.5654266226597</v>
      </c>
      <c r="E59" s="975">
        <v>18.3858733506455</v>
      </c>
      <c r="F59" s="976">
        <f t="shared" si="2"/>
        <v>3813.1844266226599</v>
      </c>
      <c r="G59" s="672"/>
    </row>
    <row r="60" spans="2:7" ht="15" customHeight="1" x14ac:dyDescent="0.2">
      <c r="B60" s="977" t="s">
        <v>296</v>
      </c>
      <c r="C60" s="978">
        <v>107.742</v>
      </c>
      <c r="D60" s="979">
        <v>1660.6559865362099</v>
      </c>
      <c r="E60" s="980">
        <v>13.5064793370733</v>
      </c>
      <c r="F60" s="981">
        <f t="shared" si="2"/>
        <v>1768.3979865362098</v>
      </c>
      <c r="G60" s="672"/>
    </row>
    <row r="63" spans="2:7" ht="15" customHeight="1" x14ac:dyDescent="0.2">
      <c r="B63" s="1158" t="s">
        <v>753</v>
      </c>
      <c r="C63" s="1160" t="s">
        <v>850</v>
      </c>
      <c r="D63" s="1160"/>
      <c r="E63" s="1160"/>
      <c r="F63" s="1161"/>
      <c r="G63" s="690"/>
    </row>
    <row r="64" spans="2:7" ht="15" customHeight="1" x14ac:dyDescent="0.2">
      <c r="B64" s="1159"/>
      <c r="C64" s="964" t="s">
        <v>78</v>
      </c>
      <c r="D64" s="964" t="s">
        <v>309</v>
      </c>
      <c r="E64" s="964"/>
      <c r="F64" s="965" t="s">
        <v>80</v>
      </c>
      <c r="G64" s="693"/>
    </row>
    <row r="65" spans="2:7" ht="15" customHeight="1" x14ac:dyDescent="0.2">
      <c r="B65" s="1159"/>
      <c r="C65" s="964" t="s">
        <v>844</v>
      </c>
      <c r="D65" s="964" t="s">
        <v>844</v>
      </c>
      <c r="E65" s="966" t="s">
        <v>82</v>
      </c>
      <c r="F65" s="965" t="s">
        <v>844</v>
      </c>
      <c r="G65" s="693"/>
    </row>
    <row r="66" spans="2:7" ht="15" customHeight="1" x14ac:dyDescent="0.2">
      <c r="B66" s="967" t="s">
        <v>721</v>
      </c>
      <c r="C66" s="982">
        <v>3.077</v>
      </c>
      <c r="D66" s="983">
        <v>35.184022173160407</v>
      </c>
      <c r="E66" s="970">
        <v>5.2109651544763897</v>
      </c>
      <c r="F66" s="984">
        <f t="shared" ref="F66:F80" si="3">C66+D66</f>
        <v>38.261022173160406</v>
      </c>
      <c r="G66" s="664"/>
    </row>
    <row r="67" spans="2:7" ht="15" customHeight="1" x14ac:dyDescent="0.2">
      <c r="B67" s="972" t="s">
        <v>286</v>
      </c>
      <c r="C67" s="985">
        <v>0.37</v>
      </c>
      <c r="D67" s="986">
        <v>4.0199774017827998</v>
      </c>
      <c r="E67" s="975">
        <v>15.439650218731099</v>
      </c>
      <c r="F67" s="987">
        <f t="shared" si="3"/>
        <v>4.3899774017827999</v>
      </c>
      <c r="G67" s="672"/>
    </row>
    <row r="68" spans="2:7" ht="15" customHeight="1" x14ac:dyDescent="0.2">
      <c r="B68" s="972" t="s">
        <v>307</v>
      </c>
      <c r="C68" s="985">
        <v>2.5000000000000001E-2</v>
      </c>
      <c r="D68" s="986">
        <v>4.5536266870494098</v>
      </c>
      <c r="E68" s="975">
        <v>14.2310137077791</v>
      </c>
      <c r="F68" s="987">
        <f t="shared" si="3"/>
        <v>4.5786266870494101</v>
      </c>
      <c r="G68" s="672"/>
    </row>
    <row r="69" spans="2:7" ht="15" customHeight="1" x14ac:dyDescent="0.2">
      <c r="B69" s="972" t="s">
        <v>287</v>
      </c>
      <c r="C69" s="985">
        <v>0.32200000000000001</v>
      </c>
      <c r="D69" s="986">
        <v>2.1324093549681402</v>
      </c>
      <c r="E69" s="975">
        <v>24.039717771828901</v>
      </c>
      <c r="F69" s="987">
        <f t="shared" si="3"/>
        <v>2.4544093549681403</v>
      </c>
      <c r="G69" s="672"/>
    </row>
    <row r="70" spans="2:7" ht="15" customHeight="1" x14ac:dyDescent="0.2">
      <c r="B70" s="972" t="s">
        <v>288</v>
      </c>
      <c r="C70" s="985">
        <v>0.11799999999999999</v>
      </c>
      <c r="D70" s="986">
        <v>1.5525882923050498</v>
      </c>
      <c r="E70" s="975">
        <v>30.7921304309661</v>
      </c>
      <c r="F70" s="987">
        <f t="shared" si="3"/>
        <v>1.6705882923050499</v>
      </c>
      <c r="G70" s="672"/>
    </row>
    <row r="71" spans="2:7" ht="15" customHeight="1" x14ac:dyDescent="0.2">
      <c r="B71" s="972" t="s">
        <v>305</v>
      </c>
      <c r="C71" s="985">
        <v>1.4E-2</v>
      </c>
      <c r="D71" s="986">
        <v>0.38730181868040398</v>
      </c>
      <c r="E71" s="975">
        <v>49.167181599740701</v>
      </c>
      <c r="F71" s="987">
        <f t="shared" si="3"/>
        <v>0.40130181868040399</v>
      </c>
      <c r="G71" s="672"/>
    </row>
    <row r="72" spans="2:7" ht="15" customHeight="1" x14ac:dyDescent="0.2">
      <c r="B72" s="972" t="s">
        <v>289</v>
      </c>
      <c r="C72" s="985">
        <v>7.0000000000000001E-3</v>
      </c>
      <c r="D72" s="986">
        <v>0.47443897419169601</v>
      </c>
      <c r="E72" s="975">
        <v>39.0510296402921</v>
      </c>
      <c r="F72" s="987">
        <f t="shared" si="3"/>
        <v>0.48143897419169601</v>
      </c>
      <c r="G72" s="672"/>
    </row>
    <row r="73" spans="2:7" ht="15" customHeight="1" x14ac:dyDescent="0.2">
      <c r="B73" s="972" t="s">
        <v>306</v>
      </c>
      <c r="C73" s="985">
        <v>0.105</v>
      </c>
      <c r="D73" s="986">
        <v>1.1482537882863</v>
      </c>
      <c r="E73" s="975">
        <v>27.752555564254799</v>
      </c>
      <c r="F73" s="987">
        <f t="shared" si="3"/>
        <v>1.2532537882863</v>
      </c>
      <c r="G73" s="672"/>
    </row>
    <row r="74" spans="2:7" ht="15" customHeight="1" x14ac:dyDescent="0.2">
      <c r="B74" s="972" t="s">
        <v>290</v>
      </c>
      <c r="C74" s="985">
        <v>0.18099999999999999</v>
      </c>
      <c r="D74" s="986">
        <v>0.70912418127838206</v>
      </c>
      <c r="E74" s="975">
        <v>30.0450319050316</v>
      </c>
      <c r="F74" s="987">
        <f t="shared" si="3"/>
        <v>0.890124181278382</v>
      </c>
      <c r="G74" s="672"/>
    </row>
    <row r="75" spans="2:7" ht="15" customHeight="1" x14ac:dyDescent="0.2">
      <c r="B75" s="972" t="s">
        <v>291</v>
      </c>
      <c r="C75" s="985">
        <v>0.64800000000000002</v>
      </c>
      <c r="D75" s="986">
        <v>2.4510115354505801</v>
      </c>
      <c r="E75" s="975">
        <v>23.6026575409639</v>
      </c>
      <c r="F75" s="987">
        <f t="shared" si="3"/>
        <v>3.0990115354505803</v>
      </c>
      <c r="G75" s="672"/>
    </row>
    <row r="76" spans="2:7" ht="15" customHeight="1" x14ac:dyDescent="0.2">
      <c r="B76" s="972" t="s">
        <v>292</v>
      </c>
      <c r="C76" s="985">
        <v>0.20699999999999999</v>
      </c>
      <c r="D76" s="986">
        <v>2.4269698431255899</v>
      </c>
      <c r="E76" s="975">
        <v>16.1111660321668</v>
      </c>
      <c r="F76" s="987">
        <f t="shared" si="3"/>
        <v>2.6339698431255898</v>
      </c>
      <c r="G76" s="672"/>
    </row>
    <row r="77" spans="2:7" ht="15" customHeight="1" x14ac:dyDescent="0.2">
      <c r="B77" s="972" t="s">
        <v>293</v>
      </c>
      <c r="C77" s="985">
        <v>3.5999999999999997E-2</v>
      </c>
      <c r="D77" s="986">
        <v>2.3858370907404503</v>
      </c>
      <c r="E77" s="975">
        <v>15.893693349364</v>
      </c>
      <c r="F77" s="987">
        <f t="shared" si="3"/>
        <v>2.4218370907404503</v>
      </c>
      <c r="G77" s="672"/>
    </row>
    <row r="78" spans="2:7" ht="15" customHeight="1" x14ac:dyDescent="0.2">
      <c r="B78" s="972" t="s">
        <v>294</v>
      </c>
      <c r="C78" s="985">
        <v>0.187</v>
      </c>
      <c r="D78" s="986">
        <v>4.2060825747231805</v>
      </c>
      <c r="E78" s="975">
        <v>15.5977570549863</v>
      </c>
      <c r="F78" s="987">
        <f t="shared" si="3"/>
        <v>4.3930825747231808</v>
      </c>
      <c r="G78" s="672"/>
    </row>
    <row r="79" spans="2:7" ht="15" customHeight="1" x14ac:dyDescent="0.2">
      <c r="B79" s="972" t="s">
        <v>295</v>
      </c>
      <c r="C79" s="985">
        <v>0.42499999999999999</v>
      </c>
      <c r="D79" s="986">
        <v>5.3031938883710596</v>
      </c>
      <c r="E79" s="975">
        <v>14.6051349338743</v>
      </c>
      <c r="F79" s="987">
        <f t="shared" si="3"/>
        <v>5.7281938883710595</v>
      </c>
      <c r="G79" s="672"/>
    </row>
    <row r="80" spans="2:7" ht="15" customHeight="1" x14ac:dyDescent="0.2">
      <c r="B80" s="977" t="s">
        <v>296</v>
      </c>
      <c r="C80" s="988">
        <v>0.432</v>
      </c>
      <c r="D80" s="989">
        <v>3.43320674220737</v>
      </c>
      <c r="E80" s="980">
        <v>12.5533411095383</v>
      </c>
      <c r="F80" s="990">
        <f t="shared" si="3"/>
        <v>3.8652067422073699</v>
      </c>
      <c r="G80" s="672"/>
    </row>
    <row r="83" spans="2:7" ht="15" customHeight="1" x14ac:dyDescent="0.2">
      <c r="B83" s="1158" t="s">
        <v>753</v>
      </c>
      <c r="C83" s="1160" t="s">
        <v>851</v>
      </c>
      <c r="D83" s="1160"/>
      <c r="E83" s="1160"/>
      <c r="F83" s="1161"/>
      <c r="G83" s="690"/>
    </row>
    <row r="84" spans="2:7" ht="15" customHeight="1" x14ac:dyDescent="0.2">
      <c r="B84" s="1159"/>
      <c r="C84" s="964" t="s">
        <v>78</v>
      </c>
      <c r="D84" s="964" t="s">
        <v>309</v>
      </c>
      <c r="E84" s="964"/>
      <c r="F84" s="965" t="s">
        <v>80</v>
      </c>
      <c r="G84" s="693"/>
    </row>
    <row r="85" spans="2:7" ht="15" customHeight="1" x14ac:dyDescent="0.2">
      <c r="B85" s="1159"/>
      <c r="C85" s="964" t="s">
        <v>841</v>
      </c>
      <c r="D85" s="964" t="s">
        <v>841</v>
      </c>
      <c r="E85" s="966" t="s">
        <v>82</v>
      </c>
      <c r="F85" s="965" t="s">
        <v>841</v>
      </c>
      <c r="G85" s="693"/>
    </row>
    <row r="86" spans="2:7" ht="15" customHeight="1" x14ac:dyDescent="0.2">
      <c r="B86" s="967" t="s">
        <v>721</v>
      </c>
      <c r="C86" s="968">
        <v>178.58099999999999</v>
      </c>
      <c r="D86" s="969">
        <v>95384.012655135346</v>
      </c>
      <c r="E86" s="970">
        <v>2.6512098692388602</v>
      </c>
      <c r="F86" s="971">
        <f t="shared" ref="F86:F100" si="4">C86+D86</f>
        <v>95562.593655135352</v>
      </c>
      <c r="G86" s="664"/>
    </row>
    <row r="87" spans="2:7" ht="15" customHeight="1" x14ac:dyDescent="0.2">
      <c r="B87" s="972" t="s">
        <v>286</v>
      </c>
      <c r="C87" s="973">
        <v>1.31</v>
      </c>
      <c r="D87" s="974">
        <v>3940.8616735759897</v>
      </c>
      <c r="E87" s="975">
        <v>9.9876444169698697</v>
      </c>
      <c r="F87" s="976">
        <f t="shared" si="4"/>
        <v>3942.1716735759896</v>
      </c>
      <c r="G87" s="672"/>
    </row>
    <row r="88" spans="2:7" ht="15" customHeight="1" x14ac:dyDescent="0.2">
      <c r="B88" s="972" t="s">
        <v>307</v>
      </c>
      <c r="C88" s="973">
        <v>0.2</v>
      </c>
      <c r="D88" s="974">
        <v>9427.0598001902708</v>
      </c>
      <c r="E88" s="975">
        <v>8.6168585591502307</v>
      </c>
      <c r="F88" s="976">
        <f t="shared" si="4"/>
        <v>9427.2598001902716</v>
      </c>
      <c r="G88" s="672"/>
    </row>
    <row r="89" spans="2:7" ht="15" customHeight="1" x14ac:dyDescent="0.2">
      <c r="B89" s="972" t="s">
        <v>287</v>
      </c>
      <c r="C89" s="973">
        <v>10.449</v>
      </c>
      <c r="D89" s="974">
        <v>8961.2637232419784</v>
      </c>
      <c r="E89" s="975">
        <v>8.82266756659115</v>
      </c>
      <c r="F89" s="976">
        <f t="shared" si="4"/>
        <v>8971.7127232419789</v>
      </c>
      <c r="G89" s="672"/>
    </row>
    <row r="90" spans="2:7" ht="15" customHeight="1" x14ac:dyDescent="0.2">
      <c r="B90" s="972" t="s">
        <v>288</v>
      </c>
      <c r="C90" s="973">
        <v>4.9450000000000003</v>
      </c>
      <c r="D90" s="974">
        <v>3434.7703462908903</v>
      </c>
      <c r="E90" s="975">
        <v>15.4346230006976</v>
      </c>
      <c r="F90" s="976">
        <f t="shared" si="4"/>
        <v>3439.7153462908905</v>
      </c>
      <c r="G90" s="672"/>
    </row>
    <row r="91" spans="2:7" ht="15" customHeight="1" x14ac:dyDescent="0.2">
      <c r="B91" s="972" t="s">
        <v>305</v>
      </c>
      <c r="C91" s="973">
        <v>6.5170000000000003</v>
      </c>
      <c r="D91" s="974">
        <v>2354.1257094860598</v>
      </c>
      <c r="E91" s="975">
        <v>23.251435530416099</v>
      </c>
      <c r="F91" s="976">
        <f t="shared" si="4"/>
        <v>2360.6427094860596</v>
      </c>
      <c r="G91" s="672"/>
    </row>
    <row r="92" spans="2:7" ht="15" customHeight="1" x14ac:dyDescent="0.2">
      <c r="B92" s="972" t="s">
        <v>289</v>
      </c>
      <c r="C92" s="973">
        <v>0.255</v>
      </c>
      <c r="D92" s="974">
        <v>2728.6457014489001</v>
      </c>
      <c r="E92" s="975">
        <v>24.340315864426401</v>
      </c>
      <c r="F92" s="976">
        <f t="shared" si="4"/>
        <v>2728.9007014489002</v>
      </c>
      <c r="G92" s="672"/>
    </row>
    <row r="93" spans="2:7" ht="15" customHeight="1" x14ac:dyDescent="0.2">
      <c r="B93" s="972" t="s">
        <v>306</v>
      </c>
      <c r="C93" s="973">
        <v>1.8009999999999999</v>
      </c>
      <c r="D93" s="974">
        <v>6929.1880667245096</v>
      </c>
      <c r="E93" s="975">
        <v>10.023710905388199</v>
      </c>
      <c r="F93" s="976">
        <f t="shared" si="4"/>
        <v>6930.9890667245099</v>
      </c>
      <c r="G93" s="672"/>
    </row>
    <row r="94" spans="2:7" ht="15" customHeight="1" x14ac:dyDescent="0.2">
      <c r="B94" s="972" t="s">
        <v>290</v>
      </c>
      <c r="C94" s="973">
        <v>11.048999999999999</v>
      </c>
      <c r="D94" s="974">
        <v>4693.2140048256706</v>
      </c>
      <c r="E94" s="975">
        <v>11.180216231734599</v>
      </c>
      <c r="F94" s="976">
        <f t="shared" si="4"/>
        <v>4704.2630048256706</v>
      </c>
      <c r="G94" s="672"/>
    </row>
    <row r="95" spans="2:7" ht="15" customHeight="1" x14ac:dyDescent="0.2">
      <c r="B95" s="972" t="s">
        <v>291</v>
      </c>
      <c r="C95" s="973">
        <v>8.0609999999999999</v>
      </c>
      <c r="D95" s="974">
        <v>2451.6505613269701</v>
      </c>
      <c r="E95" s="975">
        <v>13.124497999775</v>
      </c>
      <c r="F95" s="976">
        <f t="shared" si="4"/>
        <v>2459.7115613269702</v>
      </c>
      <c r="G95" s="672"/>
    </row>
    <row r="96" spans="2:7" ht="15" customHeight="1" x14ac:dyDescent="0.2">
      <c r="B96" s="972" t="s">
        <v>292</v>
      </c>
      <c r="C96" s="973">
        <v>11.366</v>
      </c>
      <c r="D96" s="974">
        <v>11308.4977199637</v>
      </c>
      <c r="E96" s="975">
        <v>5.97787627947028</v>
      </c>
      <c r="F96" s="976">
        <f t="shared" si="4"/>
        <v>11319.8637199637</v>
      </c>
      <c r="G96" s="672"/>
    </row>
    <row r="97" spans="2:7" ht="15" customHeight="1" x14ac:dyDescent="0.2">
      <c r="B97" s="972" t="s">
        <v>293</v>
      </c>
      <c r="C97" s="973">
        <v>0.51600000000000001</v>
      </c>
      <c r="D97" s="974">
        <v>8687.5026493570003</v>
      </c>
      <c r="E97" s="975">
        <v>6.9870682845201797</v>
      </c>
      <c r="F97" s="976">
        <f t="shared" si="4"/>
        <v>8688.018649357</v>
      </c>
      <c r="G97" s="672"/>
    </row>
    <row r="98" spans="2:7" ht="15" customHeight="1" x14ac:dyDescent="0.2">
      <c r="B98" s="972" t="s">
        <v>294</v>
      </c>
      <c r="C98" s="973">
        <v>14.818</v>
      </c>
      <c r="D98" s="974">
        <v>10759.5971788722</v>
      </c>
      <c r="E98" s="975">
        <v>7.3665743858472297</v>
      </c>
      <c r="F98" s="976">
        <f t="shared" si="4"/>
        <v>10774.415178872199</v>
      </c>
      <c r="G98" s="672"/>
    </row>
    <row r="99" spans="2:7" ht="15" customHeight="1" x14ac:dyDescent="0.2">
      <c r="B99" s="972" t="s">
        <v>295</v>
      </c>
      <c r="C99" s="973">
        <v>105.283</v>
      </c>
      <c r="D99" s="974">
        <v>13777.1631435197</v>
      </c>
      <c r="E99" s="975">
        <v>8.6778540106644506</v>
      </c>
      <c r="F99" s="976">
        <f t="shared" si="4"/>
        <v>13882.446143519699</v>
      </c>
      <c r="G99" s="672"/>
    </row>
    <row r="100" spans="2:7" ht="15" customHeight="1" x14ac:dyDescent="0.2">
      <c r="B100" s="977" t="s">
        <v>296</v>
      </c>
      <c r="C100" s="978">
        <v>2.0110000000000001</v>
      </c>
      <c r="D100" s="979">
        <v>5930.4723763115098</v>
      </c>
      <c r="E100" s="980">
        <v>7.3312431526236104</v>
      </c>
      <c r="F100" s="981">
        <f t="shared" si="4"/>
        <v>5932.4833763115103</v>
      </c>
      <c r="G100" s="672"/>
    </row>
    <row r="103" spans="2:7" ht="15" customHeight="1" x14ac:dyDescent="0.2">
      <c r="B103" s="1158" t="s">
        <v>753</v>
      </c>
      <c r="C103" s="1160" t="s">
        <v>852</v>
      </c>
      <c r="D103" s="1160"/>
      <c r="E103" s="1160"/>
      <c r="F103" s="1161"/>
      <c r="G103" s="690"/>
    </row>
    <row r="104" spans="2:7" ht="15" customHeight="1" x14ac:dyDescent="0.2">
      <c r="B104" s="1159"/>
      <c r="C104" s="964" t="s">
        <v>78</v>
      </c>
      <c r="D104" s="964" t="s">
        <v>309</v>
      </c>
      <c r="E104" s="964"/>
      <c r="F104" s="965" t="s">
        <v>80</v>
      </c>
      <c r="G104" s="693"/>
    </row>
    <row r="105" spans="2:7" ht="15" customHeight="1" x14ac:dyDescent="0.2">
      <c r="B105" s="1159"/>
      <c r="C105" s="964" t="s">
        <v>844</v>
      </c>
      <c r="D105" s="964" t="s">
        <v>844</v>
      </c>
      <c r="E105" s="966" t="s">
        <v>82</v>
      </c>
      <c r="F105" s="965" t="s">
        <v>844</v>
      </c>
      <c r="G105" s="693"/>
    </row>
    <row r="106" spans="2:7" ht="15" customHeight="1" x14ac:dyDescent="0.2">
      <c r="B106" s="967" t="s">
        <v>721</v>
      </c>
      <c r="C106" s="982">
        <v>1.157</v>
      </c>
      <c r="D106" s="983">
        <v>238.95121310174778</v>
      </c>
      <c r="E106" s="970">
        <v>1.9668291972654841</v>
      </c>
      <c r="F106" s="984">
        <f t="shared" ref="F106:F120" si="5">C106+D106</f>
        <v>240.10821310174779</v>
      </c>
      <c r="G106" s="664"/>
    </row>
    <row r="107" spans="2:7" ht="15" customHeight="1" x14ac:dyDescent="0.2">
      <c r="B107" s="972" t="s">
        <v>286</v>
      </c>
      <c r="C107" s="985">
        <v>1.7000000000000001E-2</v>
      </c>
      <c r="D107" s="986">
        <v>13.453741443290701</v>
      </c>
      <c r="E107" s="975">
        <v>7.4741805163400903</v>
      </c>
      <c r="F107" s="987">
        <f t="shared" si="5"/>
        <v>13.4707414432907</v>
      </c>
      <c r="G107" s="672"/>
    </row>
    <row r="108" spans="2:7" ht="15" customHeight="1" x14ac:dyDescent="0.2">
      <c r="B108" s="972" t="s">
        <v>307</v>
      </c>
      <c r="C108" s="985">
        <v>3.0000000000000001E-3</v>
      </c>
      <c r="D108" s="986">
        <v>20.705833844882601</v>
      </c>
      <c r="E108" s="975">
        <v>6.1441062516845797</v>
      </c>
      <c r="F108" s="987">
        <f t="shared" si="5"/>
        <v>20.708833844882601</v>
      </c>
      <c r="G108" s="672"/>
    </row>
    <row r="109" spans="2:7" ht="15" customHeight="1" x14ac:dyDescent="0.2">
      <c r="B109" s="972" t="s">
        <v>287</v>
      </c>
      <c r="C109" s="985">
        <v>7.9000000000000001E-2</v>
      </c>
      <c r="D109" s="986">
        <v>26.356493445589699</v>
      </c>
      <c r="E109" s="975">
        <v>6.6625712666185803</v>
      </c>
      <c r="F109" s="987">
        <f t="shared" si="5"/>
        <v>26.435493445589699</v>
      </c>
      <c r="G109" s="672"/>
    </row>
    <row r="110" spans="2:7" ht="15" customHeight="1" x14ac:dyDescent="0.2">
      <c r="B110" s="972" t="s">
        <v>288</v>
      </c>
      <c r="C110" s="985">
        <v>3.9E-2</v>
      </c>
      <c r="D110" s="986">
        <v>9.7169234153175701</v>
      </c>
      <c r="E110" s="975">
        <v>10.389260553094299</v>
      </c>
      <c r="F110" s="987">
        <f t="shared" si="5"/>
        <v>9.7559234153175698</v>
      </c>
      <c r="G110" s="672"/>
    </row>
    <row r="111" spans="2:7" ht="15" customHeight="1" x14ac:dyDescent="0.2">
      <c r="B111" s="972" t="s">
        <v>305</v>
      </c>
      <c r="C111" s="985">
        <v>4.2000000000000003E-2</v>
      </c>
      <c r="D111" s="986">
        <v>5.3310873801119092</v>
      </c>
      <c r="E111" s="975">
        <v>16.951851685508199</v>
      </c>
      <c r="F111" s="987">
        <f t="shared" si="5"/>
        <v>5.373087380111909</v>
      </c>
      <c r="G111" s="672"/>
    </row>
    <row r="112" spans="2:7" ht="15" customHeight="1" x14ac:dyDescent="0.2">
      <c r="B112" s="972" t="s">
        <v>289</v>
      </c>
      <c r="C112" s="985">
        <v>2E-3</v>
      </c>
      <c r="D112" s="986">
        <v>7.0827100440668502</v>
      </c>
      <c r="E112" s="975">
        <v>15.145871172506901</v>
      </c>
      <c r="F112" s="987">
        <f t="shared" si="5"/>
        <v>7.08471004406685</v>
      </c>
      <c r="G112" s="672"/>
    </row>
    <row r="113" spans="2:7" ht="15" customHeight="1" x14ac:dyDescent="0.2">
      <c r="B113" s="972" t="s">
        <v>306</v>
      </c>
      <c r="C113" s="985">
        <v>2.1999999999999999E-2</v>
      </c>
      <c r="D113" s="986">
        <v>16.1154484412783</v>
      </c>
      <c r="E113" s="975">
        <v>8.7703176736148905</v>
      </c>
      <c r="F113" s="987">
        <f t="shared" si="5"/>
        <v>16.137448441278298</v>
      </c>
      <c r="G113" s="672"/>
    </row>
    <row r="114" spans="2:7" ht="15" customHeight="1" x14ac:dyDescent="0.2">
      <c r="B114" s="972" t="s">
        <v>290</v>
      </c>
      <c r="C114" s="985">
        <v>0.08</v>
      </c>
      <c r="D114" s="986">
        <v>10.836207981737399</v>
      </c>
      <c r="E114" s="975">
        <v>8.0498680010450094</v>
      </c>
      <c r="F114" s="987">
        <f t="shared" si="5"/>
        <v>10.916207981737399</v>
      </c>
      <c r="G114" s="672"/>
    </row>
    <row r="115" spans="2:7" ht="15" customHeight="1" x14ac:dyDescent="0.2">
      <c r="B115" s="972" t="s">
        <v>291</v>
      </c>
      <c r="C115" s="985">
        <v>3.5000000000000003E-2</v>
      </c>
      <c r="D115" s="986">
        <v>9.4176352852702685</v>
      </c>
      <c r="E115" s="975">
        <v>12.4952816370836</v>
      </c>
      <c r="F115" s="987">
        <f t="shared" si="5"/>
        <v>9.4526352852702686</v>
      </c>
      <c r="G115" s="672"/>
    </row>
    <row r="116" spans="2:7" ht="15" customHeight="1" x14ac:dyDescent="0.2">
      <c r="B116" s="972" t="s">
        <v>292</v>
      </c>
      <c r="C116" s="985">
        <v>0.1</v>
      </c>
      <c r="D116" s="986">
        <v>27.5512539044012</v>
      </c>
      <c r="E116" s="975">
        <v>4.3483161778698696</v>
      </c>
      <c r="F116" s="987">
        <f t="shared" si="5"/>
        <v>27.651253904401202</v>
      </c>
      <c r="G116" s="672"/>
    </row>
    <row r="117" spans="2:7" ht="15" customHeight="1" x14ac:dyDescent="0.2">
      <c r="B117" s="972" t="s">
        <v>293</v>
      </c>
      <c r="C117" s="985">
        <v>1.4E-2</v>
      </c>
      <c r="D117" s="986">
        <v>19.928582788407901</v>
      </c>
      <c r="E117" s="975">
        <v>5.4800504139578896</v>
      </c>
      <c r="F117" s="987">
        <f t="shared" si="5"/>
        <v>19.942582788407901</v>
      </c>
      <c r="G117" s="672"/>
    </row>
    <row r="118" spans="2:7" ht="15" customHeight="1" x14ac:dyDescent="0.2">
      <c r="B118" s="972" t="s">
        <v>294</v>
      </c>
      <c r="C118" s="985">
        <v>0.104</v>
      </c>
      <c r="D118" s="986">
        <v>25.589934461214899</v>
      </c>
      <c r="E118" s="975">
        <v>5.7396485124103904</v>
      </c>
      <c r="F118" s="987">
        <f t="shared" si="5"/>
        <v>25.693934461214898</v>
      </c>
      <c r="G118" s="672"/>
    </row>
    <row r="119" spans="2:7" ht="15" customHeight="1" x14ac:dyDescent="0.2">
      <c r="B119" s="972" t="s">
        <v>295</v>
      </c>
      <c r="C119" s="985">
        <v>0.6</v>
      </c>
      <c r="D119" s="986">
        <v>28.3283076467333</v>
      </c>
      <c r="E119" s="975">
        <v>6.4231360704136904</v>
      </c>
      <c r="F119" s="987">
        <f t="shared" si="5"/>
        <v>28.928307646733302</v>
      </c>
      <c r="G119" s="672"/>
    </row>
    <row r="120" spans="2:7" ht="15" customHeight="1" x14ac:dyDescent="0.2">
      <c r="B120" s="977" t="s">
        <v>296</v>
      </c>
      <c r="C120" s="988">
        <v>0.02</v>
      </c>
      <c r="D120" s="989">
        <v>18.537053019445199</v>
      </c>
      <c r="E120" s="980">
        <v>5.7815966259465101</v>
      </c>
      <c r="F120" s="990">
        <f t="shared" si="5"/>
        <v>18.557053019445199</v>
      </c>
      <c r="G120" s="672"/>
    </row>
  </sheetData>
  <mergeCells count="12">
    <mergeCell ref="B63:B65"/>
    <mergeCell ref="C63:F63"/>
    <mergeCell ref="B83:B85"/>
    <mergeCell ref="C83:F83"/>
    <mergeCell ref="B103:B105"/>
    <mergeCell ref="C103:F103"/>
    <mergeCell ref="B3:B5"/>
    <mergeCell ref="C3:F3"/>
    <mergeCell ref="B23:B25"/>
    <mergeCell ref="C23:F23"/>
    <mergeCell ref="B43:B45"/>
    <mergeCell ref="C43:F43"/>
  </mergeCells>
  <pageMargins left="0.7" right="0.7" top="0.75" bottom="0.75" header="0.3" footer="0.3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7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249</v>
      </c>
      <c r="C3" t="s">
        <v>253</v>
      </c>
    </row>
    <row r="5" spans="2:12" ht="15" customHeight="1" x14ac:dyDescent="0.2">
      <c r="B5" s="1157" t="s">
        <v>376</v>
      </c>
      <c r="C5" s="1141" t="s">
        <v>273</v>
      </c>
      <c r="D5" s="1141"/>
      <c r="E5" s="1141"/>
      <c r="F5" s="1133"/>
      <c r="H5" s="1157" t="s">
        <v>376</v>
      </c>
      <c r="I5" s="1021" t="s">
        <v>274</v>
      </c>
      <c r="J5" s="1089"/>
      <c r="K5" s="1089"/>
      <c r="L5" s="1018"/>
    </row>
    <row r="6" spans="2:12" ht="45" customHeight="1" x14ac:dyDescent="0.2">
      <c r="B6" s="1153"/>
      <c r="C6" s="13" t="s">
        <v>78</v>
      </c>
      <c r="D6" s="1162" t="s">
        <v>79</v>
      </c>
      <c r="E6" s="1162"/>
      <c r="F6" s="30" t="s">
        <v>275</v>
      </c>
      <c r="H6" s="1153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306" t="s">
        <v>81</v>
      </c>
      <c r="J7" s="36" t="s">
        <v>81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57">
        <f>'Section 12 data'!$C$8</f>
        <v>2.9</v>
      </c>
      <c r="D9" s="57">
        <f>'Section 12 data'!$D$8</f>
        <v>117.6</v>
      </c>
      <c r="E9" s="58">
        <f>'Section 12 data'!$E$8</f>
        <v>2.7</v>
      </c>
      <c r="F9" s="76">
        <f>SUM(C9,D9)</f>
        <v>120.5</v>
      </c>
      <c r="G9" s="25"/>
      <c r="H9" s="28" t="str">
        <f>Index!$B$4</f>
        <v>England</v>
      </c>
      <c r="I9" s="59">
        <f>'Section 12 data'!$G$7</f>
        <v>892.53071</v>
      </c>
      <c r="J9" s="60">
        <f>'Section 12 data'!$G$5</f>
        <v>1197.5720899999999</v>
      </c>
      <c r="K9" s="43">
        <f>IF(I9=0,0,100*F9/I9)</f>
        <v>13.500936007008654</v>
      </c>
      <c r="L9" s="61">
        <f>IF(J9=0,0,100*F9/J9)</f>
        <v>10.062024742076279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188E82D-4FE6-4591-83AF-A5463DC1F48B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5A6F8819-DCBF-4DAF-B9A1-E43F98F5507A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theme="7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251</v>
      </c>
      <c r="C3" t="s">
        <v>401</v>
      </c>
    </row>
    <row r="5" spans="2:12" ht="15" customHeight="1" x14ac:dyDescent="0.2">
      <c r="B5" s="1157" t="s">
        <v>376</v>
      </c>
      <c r="C5" s="1141" t="s">
        <v>281</v>
      </c>
      <c r="D5" s="1141"/>
      <c r="E5" s="1141"/>
      <c r="F5" s="1133"/>
      <c r="G5" s="25"/>
      <c r="H5" s="1157" t="s">
        <v>376</v>
      </c>
      <c r="I5" s="1021" t="s">
        <v>282</v>
      </c>
      <c r="J5" s="1089"/>
      <c r="K5" s="1089"/>
      <c r="L5" s="1018"/>
    </row>
    <row r="6" spans="2:12" ht="45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306" t="s">
        <v>326</v>
      </c>
      <c r="J7" s="36" t="s">
        <v>326</v>
      </c>
      <c r="K7" s="307" t="s">
        <v>280</v>
      </c>
      <c r="L7" s="27" t="s">
        <v>280</v>
      </c>
    </row>
    <row r="8" spans="2:12" ht="15" customHeight="1" x14ac:dyDescent="0.2">
      <c r="B8" s="192"/>
      <c r="C8" s="63"/>
      <c r="D8" s="63"/>
      <c r="E8" s="51"/>
      <c r="F8" s="64"/>
      <c r="G8" s="25"/>
      <c r="H8" s="192"/>
      <c r="I8" s="65"/>
      <c r="J8" s="66"/>
      <c r="K8" s="55"/>
      <c r="L8" s="56"/>
    </row>
    <row r="9" spans="2:12" ht="15" customHeight="1" x14ac:dyDescent="0.2">
      <c r="B9" s="28" t="str">
        <f>Index!$B$4</f>
        <v>England</v>
      </c>
      <c r="C9" s="67">
        <f>'Section 12 data'!$J$8</f>
        <v>417.30799999999999</v>
      </c>
      <c r="D9" s="67">
        <f>'Section 12 data'!$K$8</f>
        <v>29304.577000000001</v>
      </c>
      <c r="E9" s="58">
        <f>'Section 12 data'!$L$8</f>
        <v>4.1090444887909863</v>
      </c>
      <c r="F9" s="77">
        <f>SUM(C9,D9)</f>
        <v>29721.885000000002</v>
      </c>
      <c r="G9" s="25"/>
      <c r="H9" s="28" t="str">
        <f>Index!$B$4</f>
        <v>England</v>
      </c>
      <c r="I9" s="68">
        <f>'Section 12 data'!$N$7</f>
        <v>177942.09700000001</v>
      </c>
      <c r="J9" s="43">
        <f>'Section 12 data'!$N$5</f>
        <v>267859.15499999997</v>
      </c>
      <c r="K9" s="43">
        <f>IF(I9=0,0,100*F9/I9)</f>
        <v>16.703121690197907</v>
      </c>
      <c r="L9" s="61">
        <f>IF(J9=0,0,100*F9/J9)</f>
        <v>11.096087046194111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6D49983-F2A6-4804-AE2D-C77DB5BD0EFA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8D1F6E4C-2850-48DA-8F7D-5FCBCC89A038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theme="7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403</v>
      </c>
      <c r="C3" t="s">
        <v>402</v>
      </c>
    </row>
    <row r="5" spans="2:12" ht="15" customHeight="1" x14ac:dyDescent="0.2">
      <c r="B5" s="1157" t="s">
        <v>380</v>
      </c>
      <c r="C5" s="1141" t="s">
        <v>283</v>
      </c>
      <c r="D5" s="1141"/>
      <c r="E5" s="1141"/>
      <c r="F5" s="1133"/>
      <c r="G5" s="25"/>
      <c r="H5" s="1157" t="s">
        <v>380</v>
      </c>
      <c r="I5" s="1021" t="s">
        <v>284</v>
      </c>
      <c r="J5" s="1089"/>
      <c r="K5" s="1089"/>
      <c r="L5" s="1018"/>
    </row>
    <row r="6" spans="2:12" ht="45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45" customHeight="1" x14ac:dyDescent="0.2">
      <c r="B7" s="1155"/>
      <c r="C7" s="31" t="s">
        <v>285</v>
      </c>
      <c r="D7" s="31" t="s">
        <v>285</v>
      </c>
      <c r="E7" s="12" t="s">
        <v>82</v>
      </c>
      <c r="F7" s="32" t="s">
        <v>285</v>
      </c>
      <c r="G7" s="25"/>
      <c r="H7" s="1155"/>
      <c r="I7" s="306" t="s">
        <v>285</v>
      </c>
      <c r="J7" s="36" t="s">
        <v>285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67">
        <f>'Section 12 data'!$Q$8/1000</f>
        <v>3.0847159999999998</v>
      </c>
      <c r="D9" s="67">
        <f>'Section 12 data'!$R$8/1000</f>
        <v>112.496574</v>
      </c>
      <c r="E9" s="58">
        <f>'Section 12 data'!$S$8</f>
        <v>3.5417574645529024</v>
      </c>
      <c r="F9" s="77">
        <f>SUM(C9,D9)</f>
        <v>115.58129</v>
      </c>
      <c r="G9" s="25"/>
      <c r="H9" s="28" t="str">
        <f>Index!$B$4</f>
        <v>England</v>
      </c>
      <c r="I9" s="68">
        <f>'Section 12 data'!$U$7/1000</f>
        <v>1041.4787060000001</v>
      </c>
      <c r="J9" s="43">
        <f>'Section 12 data'!$U$5/1000</f>
        <v>1347.4507200000003</v>
      </c>
      <c r="K9" s="43">
        <f>IF(I9=0,0,100*F9/I9)</f>
        <v>11.097806353037427</v>
      </c>
      <c r="L9" s="61">
        <f>IF(J9=0,0,100*F9/J9)</f>
        <v>8.5777749259728004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294B01D-8A22-4068-94EB-1869F249380E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3D607DD1-489B-401E-B1BA-54517EEF1172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263</v>
      </c>
      <c r="C3" t="s">
        <v>408</v>
      </c>
    </row>
    <row r="5" spans="2:12" ht="15" customHeight="1" x14ac:dyDescent="0.2">
      <c r="B5" s="1157" t="s">
        <v>376</v>
      </c>
      <c r="C5" s="1141" t="s">
        <v>385</v>
      </c>
      <c r="D5" s="1141"/>
      <c r="E5" s="1141"/>
      <c r="F5" s="1133"/>
      <c r="H5" s="1157" t="s">
        <v>376</v>
      </c>
      <c r="I5" s="1021" t="s">
        <v>274</v>
      </c>
      <c r="J5" s="1089"/>
      <c r="K5" s="1089"/>
      <c r="L5" s="1018"/>
    </row>
    <row r="6" spans="2:12" ht="45" customHeight="1" x14ac:dyDescent="0.2">
      <c r="B6" s="1153"/>
      <c r="C6" s="13" t="s">
        <v>78</v>
      </c>
      <c r="D6" s="1162" t="s">
        <v>79</v>
      </c>
      <c r="E6" s="1162"/>
      <c r="F6" s="30" t="s">
        <v>275</v>
      </c>
      <c r="H6" s="1153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306" t="s">
        <v>81</v>
      </c>
      <c r="J7" s="36" t="s">
        <v>81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57">
        <f>'Section 13 data'!$C$8</f>
        <v>15.7</v>
      </c>
      <c r="D9" s="57">
        <f>'Section 13 data'!$D$8</f>
        <v>150.71477000000002</v>
      </c>
      <c r="E9" s="58">
        <f>'Section 13 data'!$E$8</f>
        <v>2.5538579194905484</v>
      </c>
      <c r="F9" s="76">
        <f>SUM(C9,D9)</f>
        <v>166.41477</v>
      </c>
      <c r="G9" s="25"/>
      <c r="H9" s="28" t="str">
        <f>Index!$B$4</f>
        <v>England</v>
      </c>
      <c r="I9" s="59">
        <f>'Section 13 data'!$G$7</f>
        <v>892.53071</v>
      </c>
      <c r="J9" s="60">
        <f>'Section 13 data'!$G$5</f>
        <v>1197.5720899999999</v>
      </c>
      <c r="K9" s="43">
        <f>IF(I9=0,0,100*F9/I9)</f>
        <v>18.645271040589741</v>
      </c>
      <c r="L9" s="61">
        <f>IF(J9=0,0,100*F9/J9)</f>
        <v>13.896012723543015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3468C5E-AC65-4195-807E-AB2295F6C506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9A1CA105-B53A-47D7-9698-CF67E2E89D00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Y75"/>
  <sheetViews>
    <sheetView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1.625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  <col min="25" max="25" width="11" customWidth="1"/>
  </cols>
  <sheetData>
    <row r="2" spans="1:20" ht="13.5" thickBot="1" x14ac:dyDescent="0.25"/>
    <row r="3" spans="1:20" ht="15" x14ac:dyDescent="0.2">
      <c r="A3" s="278"/>
      <c r="B3" s="1006" t="s">
        <v>702</v>
      </c>
      <c r="C3" s="1007"/>
      <c r="D3" s="1007"/>
      <c r="E3" s="1007"/>
      <c r="F3" s="1008"/>
      <c r="H3" s="1006" t="s">
        <v>702</v>
      </c>
      <c r="I3" s="1009"/>
      <c r="J3" s="1009"/>
      <c r="K3" s="1009"/>
      <c r="L3" s="1009"/>
      <c r="M3" s="1009"/>
      <c r="N3" s="1010"/>
      <c r="P3" s="1006" t="s">
        <v>702</v>
      </c>
      <c r="Q3" s="1007"/>
      <c r="R3" s="1007"/>
      <c r="S3" s="1007"/>
      <c r="T3" s="1008"/>
    </row>
    <row r="4" spans="1:20" ht="13.5" thickBot="1" x14ac:dyDescent="0.25">
      <c r="A4" s="278"/>
      <c r="B4" s="286" t="s">
        <v>78</v>
      </c>
      <c r="C4" s="287" t="s">
        <v>379</v>
      </c>
      <c r="D4" s="287" t="s">
        <v>481</v>
      </c>
      <c r="E4" s="290" t="s">
        <v>479</v>
      </c>
      <c r="F4" s="288" t="s">
        <v>378</v>
      </c>
      <c r="H4" s="289" t="s">
        <v>309</v>
      </c>
      <c r="I4" s="290" t="s">
        <v>379</v>
      </c>
      <c r="J4" s="287" t="s">
        <v>481</v>
      </c>
      <c r="K4" s="290" t="s">
        <v>82</v>
      </c>
      <c r="L4" s="290" t="s">
        <v>310</v>
      </c>
      <c r="M4" s="290" t="s">
        <v>479</v>
      </c>
      <c r="N4" s="291" t="s">
        <v>378</v>
      </c>
      <c r="P4" s="286" t="s">
        <v>486</v>
      </c>
      <c r="Q4" s="287" t="s">
        <v>379</v>
      </c>
      <c r="R4" s="287" t="s">
        <v>481</v>
      </c>
      <c r="S4" s="290" t="s">
        <v>479</v>
      </c>
      <c r="T4" s="288" t="s">
        <v>378</v>
      </c>
    </row>
    <row r="5" spans="1:20" x14ac:dyDescent="0.2">
      <c r="A5" s="278"/>
      <c r="B5" s="304" t="s">
        <v>105</v>
      </c>
      <c r="C5" s="305">
        <v>2013</v>
      </c>
      <c r="D5" s="294">
        <v>8760.9670000000006</v>
      </c>
      <c r="E5" s="334"/>
      <c r="F5" s="342"/>
      <c r="G5" s="326"/>
      <c r="H5" s="304" t="s">
        <v>105</v>
      </c>
      <c r="I5" s="305">
        <v>2013</v>
      </c>
      <c r="J5" s="281">
        <v>168813.75099999999</v>
      </c>
      <c r="K5" s="281">
        <v>1.620904443220035</v>
      </c>
      <c r="L5" s="334">
        <f t="shared" ref="L5:L15" si="0">(K5*J5)/100</f>
        <v>2736.3095907254065</v>
      </c>
      <c r="M5" s="334"/>
      <c r="N5" s="342"/>
      <c r="O5" s="326"/>
      <c r="P5" s="304" t="s">
        <v>105</v>
      </c>
      <c r="Q5" s="305">
        <v>2013</v>
      </c>
      <c r="R5" s="334">
        <f>D5+J5</f>
        <v>177574.71799999999</v>
      </c>
      <c r="S5" s="334"/>
      <c r="T5" s="342"/>
    </row>
    <row r="6" spans="1:20" x14ac:dyDescent="0.2">
      <c r="A6" s="278"/>
      <c r="B6" s="292"/>
      <c r="C6" s="293">
        <v>2017</v>
      </c>
      <c r="D6" s="284">
        <v>9251.8259999999991</v>
      </c>
      <c r="E6" s="335"/>
      <c r="F6" s="343"/>
      <c r="G6" s="326"/>
      <c r="H6" s="338"/>
      <c r="I6" s="293">
        <v>2017</v>
      </c>
      <c r="J6" s="282">
        <v>173857.23</v>
      </c>
      <c r="K6" s="282">
        <v>1.5095672632489461</v>
      </c>
      <c r="L6" s="335">
        <f t="shared" si="0"/>
        <v>2624.4918288714257</v>
      </c>
      <c r="M6" s="335"/>
      <c r="N6" s="343"/>
      <c r="O6" s="326"/>
      <c r="P6" s="338"/>
      <c r="Q6" s="293">
        <v>2017</v>
      </c>
      <c r="R6" s="335">
        <f t="shared" ref="R6:R15" si="1">D6+J6</f>
        <v>183109.05600000001</v>
      </c>
      <c r="S6" s="335"/>
      <c r="T6" s="343"/>
    </row>
    <row r="7" spans="1:20" x14ac:dyDescent="0.2">
      <c r="A7" s="278"/>
      <c r="B7" s="292"/>
      <c r="C7" s="293">
        <v>2022</v>
      </c>
      <c r="D7" s="284">
        <v>9998.3070000000007</v>
      </c>
      <c r="E7" s="335"/>
      <c r="F7" s="343"/>
      <c r="G7" s="326"/>
      <c r="H7" s="338"/>
      <c r="I7" s="293">
        <v>2022</v>
      </c>
      <c r="J7" s="282">
        <v>184255.87</v>
      </c>
      <c r="K7" s="282">
        <v>1.4568467818586737</v>
      </c>
      <c r="L7" s="335">
        <f t="shared" si="0"/>
        <v>2684.325712480701</v>
      </c>
      <c r="M7" s="335"/>
      <c r="N7" s="343"/>
      <c r="O7" s="326"/>
      <c r="P7" s="338"/>
      <c r="Q7" s="293">
        <v>2022</v>
      </c>
      <c r="R7" s="335">
        <f t="shared" si="1"/>
        <v>194254.177</v>
      </c>
      <c r="S7" s="335"/>
      <c r="T7" s="343"/>
    </row>
    <row r="8" spans="1:20" x14ac:dyDescent="0.2">
      <c r="A8" s="278"/>
      <c r="B8" s="292"/>
      <c r="C8" s="293">
        <v>2027</v>
      </c>
      <c r="D8" s="284">
        <v>10576.978999999999</v>
      </c>
      <c r="E8" s="335"/>
      <c r="F8" s="343"/>
      <c r="G8" s="326"/>
      <c r="H8" s="338"/>
      <c r="I8" s="293">
        <v>2027</v>
      </c>
      <c r="J8" s="282">
        <v>200873.16800000001</v>
      </c>
      <c r="K8" s="282">
        <v>1.3906054691569483</v>
      </c>
      <c r="L8" s="335">
        <f t="shared" si="0"/>
        <v>2793.353260276825</v>
      </c>
      <c r="M8" s="335"/>
      <c r="N8" s="343"/>
      <c r="O8" s="326"/>
      <c r="P8" s="338"/>
      <c r="Q8" s="293">
        <v>2027</v>
      </c>
      <c r="R8" s="335">
        <f t="shared" si="1"/>
        <v>211450.147</v>
      </c>
      <c r="S8" s="335"/>
      <c r="T8" s="343"/>
    </row>
    <row r="9" spans="1:20" x14ac:dyDescent="0.2">
      <c r="A9" s="278"/>
      <c r="B9" s="292"/>
      <c r="C9" s="293">
        <v>2032</v>
      </c>
      <c r="D9" s="284">
        <v>11185.714</v>
      </c>
      <c r="E9" s="335"/>
      <c r="F9" s="343"/>
      <c r="G9" s="326"/>
      <c r="H9" s="338"/>
      <c r="I9" s="293">
        <v>2032</v>
      </c>
      <c r="J9" s="282">
        <v>218061.62299999999</v>
      </c>
      <c r="K9" s="282">
        <v>1.3292967396485524</v>
      </c>
      <c r="L9" s="335">
        <f t="shared" si="0"/>
        <v>2898.6860449637174</v>
      </c>
      <c r="M9" s="335"/>
      <c r="N9" s="343"/>
      <c r="O9" s="326"/>
      <c r="P9" s="338"/>
      <c r="Q9" s="293">
        <v>2032</v>
      </c>
      <c r="R9" s="335">
        <f t="shared" si="1"/>
        <v>229247.337</v>
      </c>
      <c r="S9" s="335"/>
      <c r="T9" s="343"/>
    </row>
    <row r="10" spans="1:20" x14ac:dyDescent="0.2">
      <c r="A10" s="278"/>
      <c r="B10" s="292"/>
      <c r="C10" s="293">
        <v>2037</v>
      </c>
      <c r="D10" s="284">
        <v>11721.040999999999</v>
      </c>
      <c r="E10" s="335"/>
      <c r="F10" s="343"/>
      <c r="G10" s="326"/>
      <c r="H10" s="338"/>
      <c r="I10" s="293">
        <v>2037</v>
      </c>
      <c r="J10" s="282">
        <v>235140.64</v>
      </c>
      <c r="K10" s="282">
        <v>1.2790360583821476</v>
      </c>
      <c r="L10" s="335">
        <f t="shared" si="0"/>
        <v>3007.5335735105559</v>
      </c>
      <c r="M10" s="335"/>
      <c r="N10" s="343"/>
      <c r="O10" s="326"/>
      <c r="P10" s="338"/>
      <c r="Q10" s="293">
        <v>2037</v>
      </c>
      <c r="R10" s="335">
        <f t="shared" si="1"/>
        <v>246861.68100000001</v>
      </c>
      <c r="S10" s="335"/>
      <c r="T10" s="343"/>
    </row>
    <row r="11" spans="1:20" x14ac:dyDescent="0.2">
      <c r="A11" s="278"/>
      <c r="B11" s="292"/>
      <c r="C11" s="293">
        <v>2042</v>
      </c>
      <c r="D11" s="284">
        <v>11995.288</v>
      </c>
      <c r="E11" s="335"/>
      <c r="F11" s="343"/>
      <c r="G11" s="326"/>
      <c r="H11" s="338"/>
      <c r="I11" s="293">
        <v>2042</v>
      </c>
      <c r="J11" s="282">
        <v>252001.01500000001</v>
      </c>
      <c r="K11" s="282">
        <v>1.2356538297078179</v>
      </c>
      <c r="L11" s="335">
        <f t="shared" si="0"/>
        <v>3113.8601927500731</v>
      </c>
      <c r="M11" s="335"/>
      <c r="N11" s="343"/>
      <c r="O11" s="326"/>
      <c r="P11" s="338"/>
      <c r="Q11" s="293">
        <v>2042</v>
      </c>
      <c r="R11" s="335">
        <f t="shared" si="1"/>
        <v>263996.30300000001</v>
      </c>
      <c r="S11" s="335"/>
      <c r="T11" s="343"/>
    </row>
    <row r="12" spans="1:20" x14ac:dyDescent="0.2">
      <c r="A12" s="278"/>
      <c r="B12" s="292"/>
      <c r="C12" s="293">
        <v>2047</v>
      </c>
      <c r="D12" s="284">
        <v>11984.946</v>
      </c>
      <c r="E12" s="335"/>
      <c r="F12" s="343"/>
      <c r="G12" s="326"/>
      <c r="H12" s="338"/>
      <c r="I12" s="293">
        <v>2047</v>
      </c>
      <c r="J12" s="282">
        <v>266229.93099999998</v>
      </c>
      <c r="K12" s="282">
        <v>1.2068197639991567</v>
      </c>
      <c r="L12" s="335">
        <f t="shared" si="0"/>
        <v>3212.9154249893177</v>
      </c>
      <c r="M12" s="335"/>
      <c r="N12" s="343"/>
      <c r="O12" s="326"/>
      <c r="P12" s="338"/>
      <c r="Q12" s="293">
        <v>2047</v>
      </c>
      <c r="R12" s="335">
        <f t="shared" si="1"/>
        <v>278214.87699999998</v>
      </c>
      <c r="S12" s="335"/>
      <c r="T12" s="343"/>
    </row>
    <row r="13" spans="1:20" x14ac:dyDescent="0.2">
      <c r="A13" s="278"/>
      <c r="B13" s="292"/>
      <c r="C13" s="293">
        <v>2052</v>
      </c>
      <c r="D13" s="284">
        <v>12299.821</v>
      </c>
      <c r="E13" s="335"/>
      <c r="F13" s="343"/>
      <c r="G13" s="326"/>
      <c r="H13" s="338"/>
      <c r="I13" s="293">
        <v>2052</v>
      </c>
      <c r="J13" s="282">
        <v>279077.58100000001</v>
      </c>
      <c r="K13" s="282">
        <v>1.1843938597154449</v>
      </c>
      <c r="L13" s="335">
        <f t="shared" si="0"/>
        <v>3305.3777332063969</v>
      </c>
      <c r="M13" s="335"/>
      <c r="N13" s="343"/>
      <c r="O13" s="326"/>
      <c r="P13" s="338"/>
      <c r="Q13" s="293">
        <v>2052</v>
      </c>
      <c r="R13" s="335">
        <f t="shared" si="1"/>
        <v>291377.402</v>
      </c>
      <c r="S13" s="335"/>
      <c r="T13" s="343"/>
    </row>
    <row r="14" spans="1:20" x14ac:dyDescent="0.2">
      <c r="A14" s="278"/>
      <c r="B14" s="292"/>
      <c r="C14" s="293">
        <v>2057</v>
      </c>
      <c r="D14" s="284">
        <v>12578.359</v>
      </c>
      <c r="E14" s="335"/>
      <c r="F14" s="343"/>
      <c r="G14" s="326"/>
      <c r="H14" s="338"/>
      <c r="I14" s="293">
        <v>2057</v>
      </c>
      <c r="J14" s="282">
        <v>290042.84999999998</v>
      </c>
      <c r="K14" s="282">
        <v>1.1767133448850406</v>
      </c>
      <c r="L14" s="335">
        <f t="shared" si="0"/>
        <v>3412.9729218349007</v>
      </c>
      <c r="M14" s="335"/>
      <c r="N14" s="343"/>
      <c r="O14" s="326"/>
      <c r="P14" s="338"/>
      <c r="Q14" s="293">
        <v>2057</v>
      </c>
      <c r="R14" s="335">
        <f t="shared" si="1"/>
        <v>302621.20899999997</v>
      </c>
      <c r="S14" s="335"/>
      <c r="T14" s="343"/>
    </row>
    <row r="15" spans="1:20" ht="13.5" thickBot="1" x14ac:dyDescent="0.25">
      <c r="A15" s="278"/>
      <c r="B15" s="297"/>
      <c r="C15" s="298">
        <v>2062</v>
      </c>
      <c r="D15" s="299">
        <v>12714.181</v>
      </c>
      <c r="E15" s="336"/>
      <c r="F15" s="344"/>
      <c r="G15" s="326"/>
      <c r="H15" s="339"/>
      <c r="I15" s="298">
        <v>2062</v>
      </c>
      <c r="J15" s="340">
        <v>299744.72600000002</v>
      </c>
      <c r="K15" s="340">
        <v>1.1782183256028123</v>
      </c>
      <c r="L15" s="336">
        <f t="shared" si="0"/>
        <v>3531.6472917599376</v>
      </c>
      <c r="M15" s="336"/>
      <c r="N15" s="344"/>
      <c r="O15" s="326"/>
      <c r="P15" s="339"/>
      <c r="Q15" s="298">
        <v>2062</v>
      </c>
      <c r="R15" s="336">
        <f t="shared" si="1"/>
        <v>312458.90700000001</v>
      </c>
      <c r="S15" s="336"/>
      <c r="T15" s="344"/>
    </row>
    <row r="16" spans="1:20" x14ac:dyDescent="0.2">
      <c r="A16" s="278"/>
      <c r="B16" s="302"/>
      <c r="C16" s="303"/>
      <c r="D16" s="284"/>
      <c r="E16" s="284"/>
      <c r="F16" s="279"/>
      <c r="G16" s="326"/>
      <c r="H16" s="341"/>
      <c r="I16" s="303"/>
      <c r="J16" s="284"/>
      <c r="K16" s="284"/>
      <c r="L16" s="284"/>
      <c r="M16" s="284"/>
      <c r="N16" s="279"/>
      <c r="O16" s="326"/>
      <c r="P16" s="341"/>
      <c r="Q16" s="303"/>
      <c r="R16" s="284"/>
      <c r="S16" s="284"/>
      <c r="T16" s="279"/>
    </row>
    <row r="17" spans="1:20" ht="13.5" thickBot="1" x14ac:dyDescent="0.25"/>
    <row r="18" spans="1:20" ht="15" x14ac:dyDescent="0.2">
      <c r="A18" s="278"/>
      <c r="B18" s="1006" t="s">
        <v>703</v>
      </c>
      <c r="C18" s="1011"/>
      <c r="D18" s="1011"/>
      <c r="E18" s="1011"/>
      <c r="F18" s="1012"/>
      <c r="H18" s="1006" t="s">
        <v>703</v>
      </c>
      <c r="I18" s="1009"/>
      <c r="J18" s="1009"/>
      <c r="K18" s="1009"/>
      <c r="L18" s="1009"/>
      <c r="M18" s="1009"/>
      <c r="N18" s="1010"/>
      <c r="P18" s="1006" t="s">
        <v>703</v>
      </c>
      <c r="Q18" s="1011"/>
      <c r="R18" s="1011"/>
      <c r="S18" s="1011"/>
      <c r="T18" s="1012"/>
    </row>
    <row r="19" spans="1:20" ht="13.5" thickBot="1" x14ac:dyDescent="0.25">
      <c r="A19" s="278"/>
      <c r="B19" s="286" t="s">
        <v>78</v>
      </c>
      <c r="C19" s="287" t="s">
        <v>480</v>
      </c>
      <c r="D19" s="287" t="s">
        <v>377</v>
      </c>
      <c r="E19" s="290" t="s">
        <v>479</v>
      </c>
      <c r="F19" s="288" t="s">
        <v>378</v>
      </c>
      <c r="H19" s="289" t="s">
        <v>309</v>
      </c>
      <c r="I19" s="287" t="s">
        <v>480</v>
      </c>
      <c r="J19" s="287" t="s">
        <v>377</v>
      </c>
      <c r="K19" s="290" t="s">
        <v>82</v>
      </c>
      <c r="L19" s="290" t="s">
        <v>310</v>
      </c>
      <c r="M19" s="290" t="s">
        <v>479</v>
      </c>
      <c r="N19" s="291" t="s">
        <v>378</v>
      </c>
      <c r="P19" s="286" t="s">
        <v>486</v>
      </c>
      <c r="Q19" s="287" t="s">
        <v>480</v>
      </c>
      <c r="R19" s="287" t="s">
        <v>377</v>
      </c>
      <c r="S19" s="290" t="s">
        <v>479</v>
      </c>
      <c r="T19" s="288" t="s">
        <v>378</v>
      </c>
    </row>
    <row r="20" spans="1:20" x14ac:dyDescent="0.2">
      <c r="A20" s="278"/>
      <c r="B20" s="304" t="s">
        <v>105</v>
      </c>
      <c r="C20" s="305" t="s">
        <v>332</v>
      </c>
      <c r="D20" s="294">
        <v>8617.6839999999993</v>
      </c>
      <c r="E20" s="334">
        <v>4</v>
      </c>
      <c r="F20" s="342">
        <f>D20*E20</f>
        <v>34470.735999999997</v>
      </c>
      <c r="H20" s="304" t="s">
        <v>105</v>
      </c>
      <c r="I20" s="305" t="s">
        <v>332</v>
      </c>
      <c r="J20" s="295">
        <v>171247.32399999999</v>
      </c>
      <c r="K20" s="295">
        <v>1.5351323302068958</v>
      </c>
      <c r="L20" s="334">
        <f t="shared" ref="L20:L30" si="2">(K20*J20)/100</f>
        <v>2628.8730353381525</v>
      </c>
      <c r="M20" s="334">
        <v>4</v>
      </c>
      <c r="N20" s="342">
        <f>J20*M20</f>
        <v>684989.29599999997</v>
      </c>
      <c r="P20" s="304" t="s">
        <v>105</v>
      </c>
      <c r="Q20" s="305" t="s">
        <v>332</v>
      </c>
      <c r="R20" s="334">
        <f>D20+J20</f>
        <v>179865.008</v>
      </c>
      <c r="S20" s="334">
        <v>4</v>
      </c>
      <c r="T20" s="342">
        <f>R20*S20</f>
        <v>719460.03200000001</v>
      </c>
    </row>
    <row r="21" spans="1:20" x14ac:dyDescent="0.2">
      <c r="A21" s="278"/>
      <c r="B21" s="292"/>
      <c r="C21" s="293" t="s">
        <v>222</v>
      </c>
      <c r="D21" s="284">
        <v>9281.9560000000001</v>
      </c>
      <c r="E21" s="335">
        <v>5</v>
      </c>
      <c r="F21" s="343">
        <f t="shared" ref="F21:F30" si="3">D21*E21</f>
        <v>46409.78</v>
      </c>
      <c r="H21" s="292"/>
      <c r="I21" s="293" t="s">
        <v>222</v>
      </c>
      <c r="J21" s="280">
        <v>180048.25200000001</v>
      </c>
      <c r="K21" s="280">
        <v>1.464022577550941</v>
      </c>
      <c r="L21" s="335">
        <f t="shared" si="2"/>
        <v>2635.9470597658137</v>
      </c>
      <c r="M21" s="335">
        <v>5</v>
      </c>
      <c r="N21" s="343">
        <f t="shared" ref="N21:N30" si="4">J21*M21</f>
        <v>900241.26</v>
      </c>
      <c r="P21" s="292"/>
      <c r="Q21" s="293" t="s">
        <v>222</v>
      </c>
      <c r="R21" s="335">
        <f t="shared" ref="R21:R30" si="5">D21+J21</f>
        <v>189330.20800000001</v>
      </c>
      <c r="S21" s="335">
        <v>5</v>
      </c>
      <c r="T21" s="343">
        <f t="shared" ref="T21:T30" si="6">R21*S21</f>
        <v>946651.04</v>
      </c>
    </row>
    <row r="22" spans="1:20" x14ac:dyDescent="0.2">
      <c r="A22" s="278"/>
      <c r="B22" s="292"/>
      <c r="C22" s="293" t="s">
        <v>225</v>
      </c>
      <c r="D22" s="284">
        <v>9826.41</v>
      </c>
      <c r="E22" s="335">
        <v>5</v>
      </c>
      <c r="F22" s="343">
        <f t="shared" si="3"/>
        <v>49132.05</v>
      </c>
      <c r="H22" s="292"/>
      <c r="I22" s="293" t="s">
        <v>225</v>
      </c>
      <c r="J22" s="280">
        <v>193999.96599999999</v>
      </c>
      <c r="K22" s="280">
        <v>1.4177348257444924</v>
      </c>
      <c r="L22" s="335">
        <f t="shared" si="2"/>
        <v>2750.4050799144738</v>
      </c>
      <c r="M22" s="335">
        <v>5</v>
      </c>
      <c r="N22" s="343">
        <f t="shared" si="4"/>
        <v>969999.83</v>
      </c>
      <c r="P22" s="292"/>
      <c r="Q22" s="293" t="s">
        <v>225</v>
      </c>
      <c r="R22" s="335">
        <f t="shared" si="5"/>
        <v>203826.37599999999</v>
      </c>
      <c r="S22" s="335">
        <v>5</v>
      </c>
      <c r="T22" s="343">
        <f t="shared" si="6"/>
        <v>1019131.8799999999</v>
      </c>
    </row>
    <row r="23" spans="1:20" x14ac:dyDescent="0.2">
      <c r="A23" s="278"/>
      <c r="B23" s="292"/>
      <c r="C23" s="293" t="s">
        <v>226</v>
      </c>
      <c r="D23" s="284">
        <v>10432.989</v>
      </c>
      <c r="E23" s="335">
        <v>5</v>
      </c>
      <c r="F23" s="343">
        <f t="shared" si="3"/>
        <v>52164.945</v>
      </c>
      <c r="H23" s="292"/>
      <c r="I23" s="293" t="s">
        <v>226</v>
      </c>
      <c r="J23" s="280">
        <v>211446.682</v>
      </c>
      <c r="K23" s="280">
        <v>1.3486362440571191</v>
      </c>
      <c r="L23" s="335">
        <f t="shared" si="2"/>
        <v>2851.6465903082008</v>
      </c>
      <c r="M23" s="335">
        <v>5</v>
      </c>
      <c r="N23" s="343">
        <f t="shared" si="4"/>
        <v>1057233.4099999999</v>
      </c>
      <c r="P23" s="292"/>
      <c r="Q23" s="293" t="s">
        <v>226</v>
      </c>
      <c r="R23" s="335">
        <f t="shared" si="5"/>
        <v>221879.671</v>
      </c>
      <c r="S23" s="335">
        <v>5</v>
      </c>
      <c r="T23" s="343">
        <f t="shared" si="6"/>
        <v>1109398.355</v>
      </c>
    </row>
    <row r="24" spans="1:20" x14ac:dyDescent="0.2">
      <c r="A24" s="278"/>
      <c r="B24" s="292"/>
      <c r="C24" s="293" t="s">
        <v>227</v>
      </c>
      <c r="D24" s="284">
        <v>10912.287</v>
      </c>
      <c r="E24" s="335">
        <v>5</v>
      </c>
      <c r="F24" s="343">
        <f t="shared" si="3"/>
        <v>54561.434999999998</v>
      </c>
      <c r="H24" s="292"/>
      <c r="I24" s="293" t="s">
        <v>227</v>
      </c>
      <c r="J24" s="280">
        <v>228329.76500000001</v>
      </c>
      <c r="K24" s="280">
        <v>1.2974331215965491</v>
      </c>
      <c r="L24" s="335">
        <f t="shared" si="2"/>
        <v>2962.4259975735649</v>
      </c>
      <c r="M24" s="335">
        <v>5</v>
      </c>
      <c r="N24" s="343">
        <f t="shared" si="4"/>
        <v>1141648.8250000002</v>
      </c>
      <c r="P24" s="292"/>
      <c r="Q24" s="293" t="s">
        <v>227</v>
      </c>
      <c r="R24" s="335">
        <f t="shared" si="5"/>
        <v>239242.05200000003</v>
      </c>
      <c r="S24" s="335">
        <v>5</v>
      </c>
      <c r="T24" s="343">
        <f t="shared" si="6"/>
        <v>1196210.2600000002</v>
      </c>
    </row>
    <row r="25" spans="1:20" x14ac:dyDescent="0.2">
      <c r="A25" s="278"/>
      <c r="B25" s="292"/>
      <c r="C25" s="293" t="s">
        <v>228</v>
      </c>
      <c r="D25" s="284">
        <v>11321.800999999999</v>
      </c>
      <c r="E25" s="335">
        <v>5</v>
      </c>
      <c r="F25" s="343">
        <f t="shared" si="3"/>
        <v>56609.004999999997</v>
      </c>
      <c r="H25" s="292"/>
      <c r="I25" s="293" t="s">
        <v>228</v>
      </c>
      <c r="J25" s="280">
        <v>245430.26</v>
      </c>
      <c r="K25" s="280">
        <v>1.2509392421138841</v>
      </c>
      <c r="L25" s="335">
        <f t="shared" si="2"/>
        <v>3070.1834343621349</v>
      </c>
      <c r="M25" s="335">
        <v>5</v>
      </c>
      <c r="N25" s="343">
        <f t="shared" si="4"/>
        <v>1227151.3</v>
      </c>
      <c r="P25" s="292"/>
      <c r="Q25" s="293" t="s">
        <v>228</v>
      </c>
      <c r="R25" s="335">
        <f t="shared" si="5"/>
        <v>256752.06100000002</v>
      </c>
      <c r="S25" s="335">
        <v>5</v>
      </c>
      <c r="T25" s="343">
        <f t="shared" si="6"/>
        <v>1283760.3050000002</v>
      </c>
    </row>
    <row r="26" spans="1:20" x14ac:dyDescent="0.2">
      <c r="A26" s="278"/>
      <c r="B26" s="292"/>
      <c r="C26" s="293" t="s">
        <v>333</v>
      </c>
      <c r="D26" s="284">
        <v>11441.243</v>
      </c>
      <c r="E26" s="335">
        <v>5</v>
      </c>
      <c r="F26" s="343">
        <f t="shared" si="3"/>
        <v>57206.215000000004</v>
      </c>
      <c r="H26" s="292"/>
      <c r="I26" s="293" t="s">
        <v>333</v>
      </c>
      <c r="J26" s="280">
        <v>260522.95800000001</v>
      </c>
      <c r="K26" s="280">
        <v>1.2181509330545259</v>
      </c>
      <c r="L26" s="335">
        <f t="shared" si="2"/>
        <v>3173.5628436982511</v>
      </c>
      <c r="M26" s="335">
        <v>5</v>
      </c>
      <c r="N26" s="343">
        <f t="shared" si="4"/>
        <v>1302614.79</v>
      </c>
      <c r="P26" s="292"/>
      <c r="Q26" s="293" t="s">
        <v>333</v>
      </c>
      <c r="R26" s="335">
        <f t="shared" si="5"/>
        <v>271964.201</v>
      </c>
      <c r="S26" s="335">
        <v>5</v>
      </c>
      <c r="T26" s="343">
        <f t="shared" si="6"/>
        <v>1359821.0049999999</v>
      </c>
    </row>
    <row r="27" spans="1:20" x14ac:dyDescent="0.2">
      <c r="A27" s="278"/>
      <c r="B27" s="292"/>
      <c r="C27" s="293" t="s">
        <v>334</v>
      </c>
      <c r="D27" s="284">
        <v>11553.438</v>
      </c>
      <c r="E27" s="335">
        <v>5</v>
      </c>
      <c r="F27" s="343">
        <f t="shared" si="3"/>
        <v>57767.19</v>
      </c>
      <c r="H27" s="292"/>
      <c r="I27" s="293" t="s">
        <v>334</v>
      </c>
      <c r="J27" s="280">
        <v>273910.364</v>
      </c>
      <c r="K27" s="280">
        <v>1.1914173190843582</v>
      </c>
      <c r="L27" s="335">
        <f t="shared" si="2"/>
        <v>3263.4155154630071</v>
      </c>
      <c r="M27" s="335">
        <v>5</v>
      </c>
      <c r="N27" s="343">
        <f t="shared" si="4"/>
        <v>1369551.82</v>
      </c>
      <c r="P27" s="292"/>
      <c r="Q27" s="293" t="s">
        <v>334</v>
      </c>
      <c r="R27" s="335">
        <f t="shared" si="5"/>
        <v>285463.80200000003</v>
      </c>
      <c r="S27" s="335">
        <v>5</v>
      </c>
      <c r="T27" s="343">
        <f t="shared" si="6"/>
        <v>1427319.0100000002</v>
      </c>
    </row>
    <row r="28" spans="1:20" x14ac:dyDescent="0.2">
      <c r="A28" s="278"/>
      <c r="B28" s="292"/>
      <c r="C28" s="293" t="s">
        <v>231</v>
      </c>
      <c r="D28" s="284">
        <v>11802.027</v>
      </c>
      <c r="E28" s="335">
        <v>5</v>
      </c>
      <c r="F28" s="343">
        <f t="shared" si="3"/>
        <v>59010.135000000002</v>
      </c>
      <c r="H28" s="292"/>
      <c r="I28" s="293" t="s">
        <v>231</v>
      </c>
      <c r="J28" s="280">
        <v>286054.41700000002</v>
      </c>
      <c r="K28" s="280">
        <v>1.1763444196673944</v>
      </c>
      <c r="L28" s="335">
        <f t="shared" si="2"/>
        <v>3364.9851715915988</v>
      </c>
      <c r="M28" s="335">
        <v>5</v>
      </c>
      <c r="N28" s="343">
        <f t="shared" si="4"/>
        <v>1430272.085</v>
      </c>
      <c r="P28" s="292"/>
      <c r="Q28" s="293" t="s">
        <v>231</v>
      </c>
      <c r="R28" s="335">
        <f t="shared" si="5"/>
        <v>297856.44400000002</v>
      </c>
      <c r="S28" s="335">
        <v>5</v>
      </c>
      <c r="T28" s="343">
        <f t="shared" si="6"/>
        <v>1489282.2200000002</v>
      </c>
    </row>
    <row r="29" spans="1:20" x14ac:dyDescent="0.2">
      <c r="A29" s="278"/>
      <c r="B29" s="292"/>
      <c r="C29" s="293" t="s">
        <v>232</v>
      </c>
      <c r="D29" s="284">
        <v>12049.249</v>
      </c>
      <c r="E29" s="335">
        <v>5</v>
      </c>
      <c r="F29" s="343">
        <f t="shared" si="3"/>
        <v>60246.244999999995</v>
      </c>
      <c r="H29" s="292"/>
      <c r="I29" s="293" t="s">
        <v>232</v>
      </c>
      <c r="J29" s="280">
        <v>295930.364</v>
      </c>
      <c r="K29" s="280">
        <v>1.1772078848264955</v>
      </c>
      <c r="L29" s="335">
        <f t="shared" si="2"/>
        <v>3483.7155786037492</v>
      </c>
      <c r="M29" s="335">
        <v>5</v>
      </c>
      <c r="N29" s="343">
        <f t="shared" si="4"/>
        <v>1479651.82</v>
      </c>
      <c r="P29" s="292"/>
      <c r="Q29" s="293" t="s">
        <v>232</v>
      </c>
      <c r="R29" s="335">
        <f t="shared" si="5"/>
        <v>307979.61300000001</v>
      </c>
      <c r="S29" s="335">
        <v>5</v>
      </c>
      <c r="T29" s="343">
        <f t="shared" si="6"/>
        <v>1539898.0649999999</v>
      </c>
    </row>
    <row r="30" spans="1:20" ht="13.5" thickBot="1" x14ac:dyDescent="0.25">
      <c r="A30" s="278"/>
      <c r="B30" s="297"/>
      <c r="C30" s="298" t="s">
        <v>233</v>
      </c>
      <c r="D30" s="299">
        <v>12188.589</v>
      </c>
      <c r="E30" s="336">
        <v>5</v>
      </c>
      <c r="F30" s="344">
        <f t="shared" si="3"/>
        <v>60942.945</v>
      </c>
      <c r="H30" s="297"/>
      <c r="I30" s="298" t="s">
        <v>233</v>
      </c>
      <c r="J30" s="300">
        <v>304599.43699999998</v>
      </c>
      <c r="K30" s="300">
        <v>1.18536922767145</v>
      </c>
      <c r="L30" s="336">
        <f t="shared" si="2"/>
        <v>3610.6279938584844</v>
      </c>
      <c r="M30" s="336">
        <v>5</v>
      </c>
      <c r="N30" s="344">
        <f t="shared" si="4"/>
        <v>1522997.1849999998</v>
      </c>
      <c r="P30" s="297"/>
      <c r="Q30" s="298" t="s">
        <v>233</v>
      </c>
      <c r="R30" s="336">
        <f t="shared" si="5"/>
        <v>316788.02599999995</v>
      </c>
      <c r="S30" s="336">
        <v>5</v>
      </c>
      <c r="T30" s="344">
        <f t="shared" si="6"/>
        <v>1583940.13</v>
      </c>
    </row>
    <row r="31" spans="1:20" x14ac:dyDescent="0.2">
      <c r="A31" s="278"/>
      <c r="B31" s="302"/>
      <c r="C31" s="303"/>
      <c r="D31" s="284"/>
      <c r="E31" s="285"/>
      <c r="F31" s="279"/>
      <c r="H31" s="302"/>
      <c r="I31" s="303"/>
      <c r="J31" s="285"/>
      <c r="K31" s="285"/>
      <c r="L31" s="285"/>
      <c r="M31" s="285"/>
      <c r="N31" s="279"/>
      <c r="P31" s="302"/>
      <c r="Q31" s="303"/>
      <c r="R31" s="284"/>
      <c r="S31" s="285"/>
      <c r="T31" s="279"/>
    </row>
    <row r="32" spans="1:20" ht="13.5" thickBot="1" x14ac:dyDescent="0.25"/>
    <row r="33" spans="1:20" ht="15" x14ac:dyDescent="0.2">
      <c r="A33" s="278"/>
      <c r="B33" s="1006" t="s">
        <v>704</v>
      </c>
      <c r="C33" s="1007"/>
      <c r="D33" s="1007"/>
      <c r="E33" s="1007"/>
      <c r="F33" s="1008"/>
      <c r="H33" s="1006" t="s">
        <v>704</v>
      </c>
      <c r="I33" s="1009"/>
      <c r="J33" s="1009"/>
      <c r="K33" s="1009"/>
      <c r="L33" s="1009"/>
      <c r="M33" s="1009"/>
      <c r="N33" s="1010"/>
      <c r="P33" s="1006" t="s">
        <v>704</v>
      </c>
      <c r="Q33" s="1007"/>
      <c r="R33" s="1007"/>
      <c r="S33" s="1007"/>
      <c r="T33" s="1008"/>
    </row>
    <row r="34" spans="1:20" ht="13.5" thickBot="1" x14ac:dyDescent="0.25">
      <c r="A34" s="278"/>
      <c r="B34" s="286" t="s">
        <v>78</v>
      </c>
      <c r="C34" s="287" t="s">
        <v>480</v>
      </c>
      <c r="D34" s="287" t="s">
        <v>377</v>
      </c>
      <c r="E34" s="290" t="s">
        <v>479</v>
      </c>
      <c r="F34" s="288" t="s">
        <v>378</v>
      </c>
      <c r="H34" s="289" t="s">
        <v>309</v>
      </c>
      <c r="I34" s="287" t="s">
        <v>480</v>
      </c>
      <c r="J34" s="287" t="s">
        <v>377</v>
      </c>
      <c r="K34" s="290" t="s">
        <v>82</v>
      </c>
      <c r="L34" s="290" t="s">
        <v>310</v>
      </c>
      <c r="M34" s="290" t="s">
        <v>479</v>
      </c>
      <c r="N34" s="291" t="s">
        <v>378</v>
      </c>
      <c r="P34" s="286" t="s">
        <v>486</v>
      </c>
      <c r="Q34" s="287" t="s">
        <v>480</v>
      </c>
      <c r="R34" s="287" t="s">
        <v>377</v>
      </c>
      <c r="S34" s="290" t="s">
        <v>479</v>
      </c>
      <c r="T34" s="288" t="s">
        <v>378</v>
      </c>
    </row>
    <row r="35" spans="1:20" x14ac:dyDescent="0.2">
      <c r="A35" s="278"/>
      <c r="B35" s="304" t="s">
        <v>105</v>
      </c>
      <c r="C35" s="305" t="s">
        <v>332</v>
      </c>
      <c r="D35" s="294">
        <v>1409.8779999999999</v>
      </c>
      <c r="E35" s="334">
        <v>4</v>
      </c>
      <c r="F35" s="342">
        <f>D35*E35</f>
        <v>5639.5119999999997</v>
      </c>
      <c r="H35" s="304" t="s">
        <v>105</v>
      </c>
      <c r="I35" s="305" t="s">
        <v>332</v>
      </c>
      <c r="J35" s="295">
        <v>3871.9789999999998</v>
      </c>
      <c r="K35" s="295">
        <v>1.550731704843719</v>
      </c>
      <c r="L35" s="334">
        <f t="shared" ref="L35:L45" si="7">(K35*J35)/100</f>
        <v>60.044005957890775</v>
      </c>
      <c r="M35" s="334">
        <v>4</v>
      </c>
      <c r="N35" s="342">
        <f>J35*M35</f>
        <v>15487.915999999999</v>
      </c>
      <c r="P35" s="304" t="s">
        <v>105</v>
      </c>
      <c r="Q35" s="305" t="s">
        <v>332</v>
      </c>
      <c r="R35" s="334">
        <f>D35+J35</f>
        <v>5281.857</v>
      </c>
      <c r="S35" s="334">
        <v>4</v>
      </c>
      <c r="T35" s="342">
        <f>R35*S35</f>
        <v>21127.428</v>
      </c>
    </row>
    <row r="36" spans="1:20" x14ac:dyDescent="0.2">
      <c r="A36" s="278"/>
      <c r="B36" s="292"/>
      <c r="C36" s="293" t="s">
        <v>222</v>
      </c>
      <c r="D36" s="284">
        <v>1441.117</v>
      </c>
      <c r="E36" s="335">
        <v>5</v>
      </c>
      <c r="F36" s="343">
        <f t="shared" ref="F36:F45" si="8">D36*E36</f>
        <v>7205.585</v>
      </c>
      <c r="H36" s="292"/>
      <c r="I36" s="293" t="s">
        <v>222</v>
      </c>
      <c r="J36" s="280">
        <v>4288.8770000000004</v>
      </c>
      <c r="K36" s="280">
        <v>1.160582722656663</v>
      </c>
      <c r="L36" s="335">
        <f t="shared" si="7"/>
        <v>49.775965457995405</v>
      </c>
      <c r="M36" s="335">
        <v>5</v>
      </c>
      <c r="N36" s="343">
        <f t="shared" ref="N36:N45" si="9">J36*M36</f>
        <v>21444.385000000002</v>
      </c>
      <c r="P36" s="292"/>
      <c r="Q36" s="293" t="s">
        <v>222</v>
      </c>
      <c r="R36" s="335">
        <f t="shared" ref="R36:R45" si="10">D36+J36</f>
        <v>5729.9940000000006</v>
      </c>
      <c r="S36" s="335">
        <v>5</v>
      </c>
      <c r="T36" s="343">
        <f t="shared" ref="T36:T45" si="11">R36*S36</f>
        <v>28649.97</v>
      </c>
    </row>
    <row r="37" spans="1:20" x14ac:dyDescent="0.2">
      <c r="A37" s="278"/>
      <c r="B37" s="292"/>
      <c r="C37" s="293" t="s">
        <v>225</v>
      </c>
      <c r="D37" s="284">
        <v>1352.702</v>
      </c>
      <c r="E37" s="335">
        <v>5</v>
      </c>
      <c r="F37" s="343">
        <f t="shared" si="8"/>
        <v>6763.51</v>
      </c>
      <c r="H37" s="292"/>
      <c r="I37" s="293" t="s">
        <v>225</v>
      </c>
      <c r="J37" s="280">
        <v>4524.7489999999998</v>
      </c>
      <c r="K37" s="280">
        <v>1.1157623625864461</v>
      </c>
      <c r="L37" s="335">
        <f t="shared" si="7"/>
        <v>50.485446343506595</v>
      </c>
      <c r="M37" s="335">
        <v>5</v>
      </c>
      <c r="N37" s="343">
        <f t="shared" si="9"/>
        <v>22623.744999999999</v>
      </c>
      <c r="P37" s="292"/>
      <c r="Q37" s="293" t="s">
        <v>225</v>
      </c>
      <c r="R37" s="335">
        <f t="shared" si="10"/>
        <v>5877.451</v>
      </c>
      <c r="S37" s="335">
        <v>5</v>
      </c>
      <c r="T37" s="343">
        <f t="shared" si="11"/>
        <v>29387.255000000001</v>
      </c>
    </row>
    <row r="38" spans="1:20" x14ac:dyDescent="0.2">
      <c r="A38" s="278"/>
      <c r="B38" s="292"/>
      <c r="C38" s="293" t="s">
        <v>226</v>
      </c>
      <c r="D38" s="284">
        <v>1328.7719999999999</v>
      </c>
      <c r="E38" s="335">
        <v>5</v>
      </c>
      <c r="F38" s="343">
        <f t="shared" si="8"/>
        <v>6643.86</v>
      </c>
      <c r="H38" s="292"/>
      <c r="I38" s="293" t="s">
        <v>226</v>
      </c>
      <c r="J38" s="280">
        <v>4536.5780000000004</v>
      </c>
      <c r="K38" s="280">
        <v>1.1091448872987655</v>
      </c>
      <c r="L38" s="335">
        <f t="shared" si="7"/>
        <v>50.317222945320594</v>
      </c>
      <c r="M38" s="335">
        <v>5</v>
      </c>
      <c r="N38" s="343">
        <f t="shared" si="9"/>
        <v>22682.890000000003</v>
      </c>
      <c r="P38" s="292"/>
      <c r="Q38" s="293" t="s">
        <v>226</v>
      </c>
      <c r="R38" s="335">
        <f t="shared" si="10"/>
        <v>5865.35</v>
      </c>
      <c r="S38" s="335">
        <v>5</v>
      </c>
      <c r="T38" s="343">
        <f t="shared" si="11"/>
        <v>29326.75</v>
      </c>
    </row>
    <row r="39" spans="1:20" x14ac:dyDescent="0.2">
      <c r="A39" s="278"/>
      <c r="B39" s="292"/>
      <c r="C39" s="293" t="s">
        <v>227</v>
      </c>
      <c r="D39" s="284">
        <v>1309.3209999999999</v>
      </c>
      <c r="E39" s="335">
        <v>5</v>
      </c>
      <c r="F39" s="343">
        <f t="shared" si="8"/>
        <v>6546.6049999999996</v>
      </c>
      <c r="H39" s="292"/>
      <c r="I39" s="293" t="s">
        <v>227</v>
      </c>
      <c r="J39" s="280">
        <v>4415.8909999999996</v>
      </c>
      <c r="K39" s="280">
        <v>1.1376813881991792</v>
      </c>
      <c r="L39" s="335">
        <f t="shared" si="7"/>
        <v>50.238770030162613</v>
      </c>
      <c r="M39" s="335">
        <v>5</v>
      </c>
      <c r="N39" s="343">
        <f t="shared" si="9"/>
        <v>22079.454999999998</v>
      </c>
      <c r="P39" s="292"/>
      <c r="Q39" s="293" t="s">
        <v>227</v>
      </c>
      <c r="R39" s="335">
        <f t="shared" si="10"/>
        <v>5725.2119999999995</v>
      </c>
      <c r="S39" s="335">
        <v>5</v>
      </c>
      <c r="T39" s="343">
        <f t="shared" si="11"/>
        <v>28626.059999999998</v>
      </c>
    </row>
    <row r="40" spans="1:20" x14ac:dyDescent="0.2">
      <c r="A40" s="278"/>
      <c r="B40" s="292"/>
      <c r="C40" s="293" t="s">
        <v>228</v>
      </c>
      <c r="D40" s="284">
        <v>1320.921</v>
      </c>
      <c r="E40" s="335">
        <v>5</v>
      </c>
      <c r="F40" s="343">
        <f t="shared" si="8"/>
        <v>6604.6050000000005</v>
      </c>
      <c r="H40" s="292"/>
      <c r="I40" s="293" t="s">
        <v>228</v>
      </c>
      <c r="J40" s="280">
        <v>4250.16</v>
      </c>
      <c r="K40" s="280">
        <v>1.1737771999297695</v>
      </c>
      <c r="L40" s="335">
        <f t="shared" si="7"/>
        <v>49.887409040535083</v>
      </c>
      <c r="M40" s="335">
        <v>5</v>
      </c>
      <c r="N40" s="343">
        <f t="shared" si="9"/>
        <v>21250.799999999999</v>
      </c>
      <c r="P40" s="292"/>
      <c r="Q40" s="293" t="s">
        <v>228</v>
      </c>
      <c r="R40" s="335">
        <f t="shared" si="10"/>
        <v>5571.0810000000001</v>
      </c>
      <c r="S40" s="335">
        <v>5</v>
      </c>
      <c r="T40" s="343">
        <f t="shared" si="11"/>
        <v>27855.404999999999</v>
      </c>
    </row>
    <row r="41" spans="1:20" x14ac:dyDescent="0.2">
      <c r="A41" s="278"/>
      <c r="B41" s="292"/>
      <c r="C41" s="293" t="s">
        <v>333</v>
      </c>
      <c r="D41" s="284">
        <v>1335.1179999999999</v>
      </c>
      <c r="E41" s="335">
        <v>5</v>
      </c>
      <c r="F41" s="343">
        <f t="shared" si="8"/>
        <v>6675.59</v>
      </c>
      <c r="H41" s="292"/>
      <c r="I41" s="293" t="s">
        <v>333</v>
      </c>
      <c r="J41" s="280">
        <v>4012.8449999999998</v>
      </c>
      <c r="K41" s="280">
        <v>1.2089835441291628</v>
      </c>
      <c r="L41" s="335">
        <f t="shared" si="7"/>
        <v>48.514635701409901</v>
      </c>
      <c r="M41" s="335">
        <v>5</v>
      </c>
      <c r="N41" s="343">
        <f t="shared" si="9"/>
        <v>20064.224999999999</v>
      </c>
      <c r="P41" s="292"/>
      <c r="Q41" s="293" t="s">
        <v>333</v>
      </c>
      <c r="R41" s="335">
        <f t="shared" si="10"/>
        <v>5347.9629999999997</v>
      </c>
      <c r="S41" s="335">
        <v>5</v>
      </c>
      <c r="T41" s="343">
        <f t="shared" si="11"/>
        <v>26739.814999999999</v>
      </c>
    </row>
    <row r="42" spans="1:20" x14ac:dyDescent="0.2">
      <c r="A42" s="278"/>
      <c r="B42" s="292"/>
      <c r="C42" s="293" t="s">
        <v>334</v>
      </c>
      <c r="D42" s="284">
        <v>1359.3810000000001</v>
      </c>
      <c r="E42" s="335">
        <v>5</v>
      </c>
      <c r="F42" s="343">
        <f t="shared" si="8"/>
        <v>6796.9050000000007</v>
      </c>
      <c r="H42" s="292"/>
      <c r="I42" s="293" t="s">
        <v>334</v>
      </c>
      <c r="J42" s="280">
        <v>3736.9560000000001</v>
      </c>
      <c r="K42" s="280">
        <v>1.2354740007759426</v>
      </c>
      <c r="L42" s="335">
        <f t="shared" si="7"/>
        <v>46.16911980043664</v>
      </c>
      <c r="M42" s="335">
        <v>5</v>
      </c>
      <c r="N42" s="343">
        <f t="shared" si="9"/>
        <v>18684.78</v>
      </c>
      <c r="P42" s="292"/>
      <c r="Q42" s="293" t="s">
        <v>334</v>
      </c>
      <c r="R42" s="335">
        <f t="shared" si="10"/>
        <v>5096.3370000000004</v>
      </c>
      <c r="S42" s="335">
        <v>5</v>
      </c>
      <c r="T42" s="343">
        <f t="shared" si="11"/>
        <v>25481.685000000001</v>
      </c>
    </row>
    <row r="43" spans="1:20" x14ac:dyDescent="0.2">
      <c r="A43" s="278"/>
      <c r="B43" s="292"/>
      <c r="C43" s="293" t="s">
        <v>231</v>
      </c>
      <c r="D43" s="284">
        <v>1381.636</v>
      </c>
      <c r="E43" s="335">
        <v>5</v>
      </c>
      <c r="F43" s="343">
        <f t="shared" si="8"/>
        <v>6908.18</v>
      </c>
      <c r="H43" s="292"/>
      <c r="I43" s="293" t="s">
        <v>231</v>
      </c>
      <c r="J43" s="280">
        <v>3447.0770000000002</v>
      </c>
      <c r="K43" s="280">
        <v>1.2815196217199669</v>
      </c>
      <c r="L43" s="335">
        <f t="shared" si="7"/>
        <v>44.174968130795989</v>
      </c>
      <c r="M43" s="335">
        <v>5</v>
      </c>
      <c r="N43" s="343">
        <f t="shared" si="9"/>
        <v>17235.385000000002</v>
      </c>
      <c r="P43" s="292"/>
      <c r="Q43" s="293" t="s">
        <v>231</v>
      </c>
      <c r="R43" s="335">
        <f t="shared" si="10"/>
        <v>4828.7129999999997</v>
      </c>
      <c r="S43" s="335">
        <v>5</v>
      </c>
      <c r="T43" s="343">
        <f t="shared" si="11"/>
        <v>24143.564999999999</v>
      </c>
    </row>
    <row r="44" spans="1:20" x14ac:dyDescent="0.2">
      <c r="A44" s="278"/>
      <c r="B44" s="292"/>
      <c r="C44" s="293" t="s">
        <v>232</v>
      </c>
      <c r="D44" s="284">
        <v>1415.7239999999999</v>
      </c>
      <c r="E44" s="335">
        <v>5</v>
      </c>
      <c r="F44" s="343">
        <f t="shared" si="8"/>
        <v>7078.62</v>
      </c>
      <c r="H44" s="292"/>
      <c r="I44" s="293" t="s">
        <v>232</v>
      </c>
      <c r="J44" s="280">
        <v>3139.5430000000001</v>
      </c>
      <c r="K44" s="280">
        <v>1.2847787160037392</v>
      </c>
      <c r="L44" s="335">
        <f t="shared" si="7"/>
        <v>40.336180243785272</v>
      </c>
      <c r="M44" s="335">
        <v>5</v>
      </c>
      <c r="N44" s="343">
        <f t="shared" si="9"/>
        <v>15697.715</v>
      </c>
      <c r="P44" s="292"/>
      <c r="Q44" s="293" t="s">
        <v>232</v>
      </c>
      <c r="R44" s="335">
        <f t="shared" si="10"/>
        <v>4555.2669999999998</v>
      </c>
      <c r="S44" s="335">
        <v>5</v>
      </c>
      <c r="T44" s="343">
        <f t="shared" si="11"/>
        <v>22776.334999999999</v>
      </c>
    </row>
    <row r="45" spans="1:20" ht="13.5" thickBot="1" x14ac:dyDescent="0.25">
      <c r="A45" s="278"/>
      <c r="B45" s="297"/>
      <c r="C45" s="298" t="s">
        <v>233</v>
      </c>
      <c r="D45" s="299">
        <v>1430.192</v>
      </c>
      <c r="E45" s="336">
        <v>5</v>
      </c>
      <c r="F45" s="344">
        <f t="shared" si="8"/>
        <v>7150.96</v>
      </c>
      <c r="H45" s="297"/>
      <c r="I45" s="298" t="s">
        <v>233</v>
      </c>
      <c r="J45" s="300">
        <v>2895.221</v>
      </c>
      <c r="K45" s="300">
        <v>1.2884959959166495</v>
      </c>
      <c r="L45" s="336">
        <f t="shared" si="7"/>
        <v>37.304806657937981</v>
      </c>
      <c r="M45" s="336">
        <v>5</v>
      </c>
      <c r="N45" s="344">
        <f t="shared" si="9"/>
        <v>14476.105</v>
      </c>
      <c r="P45" s="297"/>
      <c r="Q45" s="298" t="s">
        <v>233</v>
      </c>
      <c r="R45" s="336">
        <f t="shared" si="10"/>
        <v>4325.4130000000005</v>
      </c>
      <c r="S45" s="336">
        <v>5</v>
      </c>
      <c r="T45" s="344">
        <f t="shared" si="11"/>
        <v>21627.065000000002</v>
      </c>
    </row>
    <row r="47" spans="1:20" ht="13.5" thickBot="1" x14ac:dyDescent="0.25"/>
    <row r="48" spans="1:20" ht="15" x14ac:dyDescent="0.2">
      <c r="A48" s="278"/>
      <c r="B48" s="1006" t="s">
        <v>705</v>
      </c>
      <c r="C48" s="1007"/>
      <c r="D48" s="1007"/>
      <c r="E48" s="1007"/>
      <c r="F48" s="1008"/>
      <c r="H48" s="1006" t="s">
        <v>705</v>
      </c>
      <c r="I48" s="1009"/>
      <c r="J48" s="1009"/>
      <c r="K48" s="1009"/>
      <c r="L48" s="1009"/>
      <c r="M48" s="1009"/>
      <c r="N48" s="1010"/>
      <c r="P48" s="1006" t="s">
        <v>705</v>
      </c>
      <c r="Q48" s="1007"/>
      <c r="R48" s="1007"/>
      <c r="S48" s="1007"/>
      <c r="T48" s="1008"/>
    </row>
    <row r="49" spans="1:25" ht="13.5" thickBot="1" x14ac:dyDescent="0.25">
      <c r="A49" s="278"/>
      <c r="B49" s="286" t="s">
        <v>78</v>
      </c>
      <c r="C49" s="287" t="s">
        <v>480</v>
      </c>
      <c r="D49" s="287" t="s">
        <v>377</v>
      </c>
      <c r="E49" s="290" t="s">
        <v>479</v>
      </c>
      <c r="F49" s="288" t="s">
        <v>378</v>
      </c>
      <c r="H49" s="289" t="s">
        <v>309</v>
      </c>
      <c r="I49" s="287" t="s">
        <v>480</v>
      </c>
      <c r="J49" s="287" t="s">
        <v>377</v>
      </c>
      <c r="K49" s="290" t="s">
        <v>82</v>
      </c>
      <c r="L49" s="290" t="s">
        <v>310</v>
      </c>
      <c r="M49" s="290" t="s">
        <v>479</v>
      </c>
      <c r="N49" s="291" t="s">
        <v>378</v>
      </c>
      <c r="P49" s="286" t="s">
        <v>486</v>
      </c>
      <c r="Q49" s="287" t="s">
        <v>480</v>
      </c>
      <c r="R49" s="287" t="s">
        <v>377</v>
      </c>
      <c r="S49" s="290" t="s">
        <v>479</v>
      </c>
      <c r="T49" s="288" t="s">
        <v>378</v>
      </c>
    </row>
    <row r="50" spans="1:25" x14ac:dyDescent="0.2">
      <c r="A50" s="278"/>
      <c r="B50" s="304" t="s">
        <v>105</v>
      </c>
      <c r="C50" s="305" t="s">
        <v>332</v>
      </c>
      <c r="D50" s="294">
        <v>71.779000000000011</v>
      </c>
      <c r="E50" s="334">
        <v>4</v>
      </c>
      <c r="F50" s="342">
        <f>D50*E50</f>
        <v>287.11600000000004</v>
      </c>
      <c r="H50" s="304" t="s">
        <v>105</v>
      </c>
      <c r="I50" s="305" t="s">
        <v>332</v>
      </c>
      <c r="J50" s="295">
        <v>2611.1080000000002</v>
      </c>
      <c r="K50" s="295">
        <v>7.2121093404836918</v>
      </c>
      <c r="L50" s="334">
        <f t="shared" ref="L50:L60" si="12">(K50*J50)/100</f>
        <v>188.31596395811692</v>
      </c>
      <c r="M50" s="334">
        <v>4</v>
      </c>
      <c r="N50" s="342">
        <f>J50*M50</f>
        <v>10444.432000000001</v>
      </c>
      <c r="P50" s="304" t="s">
        <v>105</v>
      </c>
      <c r="Q50" s="305" t="s">
        <v>332</v>
      </c>
      <c r="R50" s="334">
        <f>D50+J50</f>
        <v>2682.8870000000002</v>
      </c>
      <c r="S50" s="334">
        <v>4</v>
      </c>
      <c r="T50" s="342">
        <f>R50*S50</f>
        <v>10731.548000000001</v>
      </c>
    </row>
    <row r="51" spans="1:25" x14ac:dyDescent="0.2">
      <c r="A51" s="278"/>
      <c r="B51" s="292"/>
      <c r="C51" s="293" t="s">
        <v>222</v>
      </c>
      <c r="D51" s="284">
        <v>46.368000000000002</v>
      </c>
      <c r="E51" s="335">
        <v>5</v>
      </c>
      <c r="F51" s="343">
        <f t="shared" ref="F51:F60" si="13">D51*E51</f>
        <v>231.84</v>
      </c>
      <c r="H51" s="292"/>
      <c r="I51" s="293" t="s">
        <v>222</v>
      </c>
      <c r="J51" s="280">
        <v>2186.9929999999999</v>
      </c>
      <c r="K51" s="280">
        <v>6.16520388263804</v>
      </c>
      <c r="L51" s="335">
        <f t="shared" si="12"/>
        <v>134.83257734902213</v>
      </c>
      <c r="M51" s="335">
        <v>5</v>
      </c>
      <c r="N51" s="343">
        <f t="shared" ref="N51:N60" si="14">J51*M51</f>
        <v>10934.965</v>
      </c>
      <c r="P51" s="292"/>
      <c r="Q51" s="293" t="s">
        <v>222</v>
      </c>
      <c r="R51" s="335">
        <f t="shared" ref="R51:R60" si="15">D51+J51</f>
        <v>2233.3609999999999</v>
      </c>
      <c r="S51" s="335">
        <v>5</v>
      </c>
      <c r="T51" s="343">
        <f t="shared" ref="T51:T60" si="16">R51*S51</f>
        <v>11166.805</v>
      </c>
    </row>
    <row r="52" spans="1:25" x14ac:dyDescent="0.2">
      <c r="A52" s="278"/>
      <c r="B52" s="292"/>
      <c r="C52" s="293" t="s">
        <v>225</v>
      </c>
      <c r="D52" s="284">
        <v>78.750999999999991</v>
      </c>
      <c r="E52" s="335">
        <v>5</v>
      </c>
      <c r="F52" s="343">
        <f t="shared" si="13"/>
        <v>393.75499999999994</v>
      </c>
      <c r="H52" s="292"/>
      <c r="I52" s="293" t="s">
        <v>225</v>
      </c>
      <c r="J52" s="280">
        <v>1201.29</v>
      </c>
      <c r="K52" s="280">
        <v>5.9309185660954453</v>
      </c>
      <c r="L52" s="335">
        <f t="shared" si="12"/>
        <v>71.247531642647971</v>
      </c>
      <c r="M52" s="335">
        <v>5</v>
      </c>
      <c r="N52" s="343">
        <f t="shared" si="14"/>
        <v>6006.45</v>
      </c>
      <c r="P52" s="292"/>
      <c r="Q52" s="293" t="s">
        <v>225</v>
      </c>
      <c r="R52" s="335">
        <f t="shared" si="15"/>
        <v>1280.0409999999999</v>
      </c>
      <c r="S52" s="335">
        <v>5</v>
      </c>
      <c r="T52" s="343">
        <f t="shared" si="16"/>
        <v>6400.2049999999999</v>
      </c>
    </row>
    <row r="53" spans="1:25" x14ac:dyDescent="0.2">
      <c r="A53" s="278"/>
      <c r="B53" s="292"/>
      <c r="C53" s="293" t="s">
        <v>226</v>
      </c>
      <c r="D53" s="284">
        <v>74.778000000000006</v>
      </c>
      <c r="E53" s="335">
        <v>5</v>
      </c>
      <c r="F53" s="343">
        <f t="shared" si="13"/>
        <v>373.89000000000004</v>
      </c>
      <c r="H53" s="292"/>
      <c r="I53" s="293" t="s">
        <v>226</v>
      </c>
      <c r="J53" s="280">
        <v>1098.886</v>
      </c>
      <c r="K53" s="280">
        <v>7.4954336758757156</v>
      </c>
      <c r="L53" s="335">
        <f t="shared" si="12"/>
        <v>82.366271303483614</v>
      </c>
      <c r="M53" s="335">
        <v>5</v>
      </c>
      <c r="N53" s="343">
        <f t="shared" si="14"/>
        <v>5494.43</v>
      </c>
      <c r="P53" s="292"/>
      <c r="Q53" s="293" t="s">
        <v>226</v>
      </c>
      <c r="R53" s="335">
        <f t="shared" si="15"/>
        <v>1173.664</v>
      </c>
      <c r="S53" s="335">
        <v>5</v>
      </c>
      <c r="T53" s="343">
        <f t="shared" si="16"/>
        <v>5868.32</v>
      </c>
    </row>
    <row r="54" spans="1:25" x14ac:dyDescent="0.2">
      <c r="A54" s="278"/>
      <c r="B54" s="292"/>
      <c r="C54" s="293" t="s">
        <v>227</v>
      </c>
      <c r="D54" s="284">
        <v>89.126000000000005</v>
      </c>
      <c r="E54" s="335">
        <v>5</v>
      </c>
      <c r="F54" s="343">
        <f t="shared" si="13"/>
        <v>445.63</v>
      </c>
      <c r="H54" s="292"/>
      <c r="I54" s="293" t="s">
        <v>227</v>
      </c>
      <c r="J54" s="280">
        <v>1000.0890000000001</v>
      </c>
      <c r="K54" s="280">
        <v>6.9912263023612926</v>
      </c>
      <c r="L54" s="335">
        <f t="shared" si="12"/>
        <v>69.918485215022031</v>
      </c>
      <c r="M54" s="335">
        <v>5</v>
      </c>
      <c r="N54" s="343">
        <f t="shared" si="14"/>
        <v>5000.4450000000006</v>
      </c>
      <c r="P54" s="292"/>
      <c r="Q54" s="293" t="s">
        <v>227</v>
      </c>
      <c r="R54" s="335">
        <f t="shared" si="15"/>
        <v>1089.2150000000001</v>
      </c>
      <c r="S54" s="335">
        <v>5</v>
      </c>
      <c r="T54" s="343">
        <f t="shared" si="16"/>
        <v>5446.0750000000007</v>
      </c>
    </row>
    <row r="55" spans="1:25" x14ac:dyDescent="0.2">
      <c r="A55" s="278"/>
      <c r="B55" s="292"/>
      <c r="C55" s="293" t="s">
        <v>228</v>
      </c>
      <c r="D55" s="284">
        <v>139.09399999999999</v>
      </c>
      <c r="E55" s="335">
        <v>5</v>
      </c>
      <c r="F55" s="343">
        <f t="shared" si="13"/>
        <v>695.47</v>
      </c>
      <c r="H55" s="292"/>
      <c r="I55" s="293" t="s">
        <v>228</v>
      </c>
      <c r="J55" s="280">
        <v>878.08500000000004</v>
      </c>
      <c r="K55" s="280">
        <v>5.5412245829283755</v>
      </c>
      <c r="L55" s="335">
        <f t="shared" si="12"/>
        <v>48.656661879006627</v>
      </c>
      <c r="M55" s="335">
        <v>5</v>
      </c>
      <c r="N55" s="343">
        <f t="shared" si="14"/>
        <v>4390.4250000000002</v>
      </c>
      <c r="P55" s="292"/>
      <c r="Q55" s="293" t="s">
        <v>228</v>
      </c>
      <c r="R55" s="335">
        <f t="shared" si="15"/>
        <v>1017.1790000000001</v>
      </c>
      <c r="S55" s="335">
        <v>5</v>
      </c>
      <c r="T55" s="343">
        <f t="shared" si="16"/>
        <v>5085.8950000000004</v>
      </c>
    </row>
    <row r="56" spans="1:25" x14ac:dyDescent="0.2">
      <c r="A56" s="278"/>
      <c r="B56" s="292"/>
      <c r="C56" s="293" t="s">
        <v>333</v>
      </c>
      <c r="D56" s="284">
        <v>193.01599999999999</v>
      </c>
      <c r="E56" s="335">
        <v>5</v>
      </c>
      <c r="F56" s="343">
        <f t="shared" si="13"/>
        <v>965.07999999999993</v>
      </c>
      <c r="H56" s="292"/>
      <c r="I56" s="293" t="s">
        <v>333</v>
      </c>
      <c r="J56" s="280">
        <v>1167.0630000000001</v>
      </c>
      <c r="K56" s="280">
        <v>5.482985874551817</v>
      </c>
      <c r="L56" s="335">
        <f t="shared" si="12"/>
        <v>63.989899437120677</v>
      </c>
      <c r="M56" s="335">
        <v>5</v>
      </c>
      <c r="N56" s="343">
        <f t="shared" si="14"/>
        <v>5835.3150000000005</v>
      </c>
      <c r="P56" s="292"/>
      <c r="Q56" s="293" t="s">
        <v>333</v>
      </c>
      <c r="R56" s="335">
        <f t="shared" si="15"/>
        <v>1360.0790000000002</v>
      </c>
      <c r="S56" s="335">
        <v>5</v>
      </c>
      <c r="T56" s="343">
        <f t="shared" si="16"/>
        <v>6800.3950000000004</v>
      </c>
    </row>
    <row r="57" spans="1:25" x14ac:dyDescent="0.2">
      <c r="A57" s="278"/>
      <c r="B57" s="292"/>
      <c r="C57" s="293" t="s">
        <v>334</v>
      </c>
      <c r="D57" s="284">
        <v>127.23299999999998</v>
      </c>
      <c r="E57" s="335">
        <v>5</v>
      </c>
      <c r="F57" s="343">
        <f t="shared" si="13"/>
        <v>636.16499999999985</v>
      </c>
      <c r="H57" s="292"/>
      <c r="I57" s="293" t="s">
        <v>334</v>
      </c>
      <c r="J57" s="280">
        <v>1167.4290000000001</v>
      </c>
      <c r="K57" s="280">
        <v>6.7523126796733335</v>
      </c>
      <c r="L57" s="335">
        <f t="shared" si="12"/>
        <v>78.8284563931836</v>
      </c>
      <c r="M57" s="335">
        <v>5</v>
      </c>
      <c r="N57" s="343">
        <f t="shared" si="14"/>
        <v>5837.1450000000004</v>
      </c>
      <c r="P57" s="292"/>
      <c r="Q57" s="293" t="s">
        <v>334</v>
      </c>
      <c r="R57" s="335">
        <f t="shared" si="15"/>
        <v>1294.662</v>
      </c>
      <c r="S57" s="335">
        <v>5</v>
      </c>
      <c r="T57" s="343">
        <f t="shared" si="16"/>
        <v>6473.31</v>
      </c>
    </row>
    <row r="58" spans="1:25" x14ac:dyDescent="0.2">
      <c r="A58" s="278"/>
      <c r="B58" s="292"/>
      <c r="C58" s="293" t="s">
        <v>231</v>
      </c>
      <c r="D58" s="284">
        <v>133.34199999999998</v>
      </c>
      <c r="E58" s="335">
        <v>5</v>
      </c>
      <c r="F58" s="343">
        <f t="shared" si="13"/>
        <v>666.70999999999992</v>
      </c>
      <c r="H58" s="292"/>
      <c r="I58" s="293" t="s">
        <v>231</v>
      </c>
      <c r="J58" s="280">
        <v>1254.0250000000001</v>
      </c>
      <c r="K58" s="280">
        <v>5.3710215358542355</v>
      </c>
      <c r="L58" s="335">
        <f t="shared" si="12"/>
        <v>67.353952814996077</v>
      </c>
      <c r="M58" s="335">
        <v>5</v>
      </c>
      <c r="N58" s="343">
        <f t="shared" si="14"/>
        <v>6270.125</v>
      </c>
      <c r="P58" s="292"/>
      <c r="Q58" s="293" t="s">
        <v>231</v>
      </c>
      <c r="R58" s="335">
        <f t="shared" si="15"/>
        <v>1387.3670000000002</v>
      </c>
      <c r="S58" s="335">
        <v>5</v>
      </c>
      <c r="T58" s="343">
        <f t="shared" si="16"/>
        <v>6936.8350000000009</v>
      </c>
    </row>
    <row r="59" spans="1:25" x14ac:dyDescent="0.2">
      <c r="A59" s="278"/>
      <c r="B59" s="292"/>
      <c r="C59" s="293" t="s">
        <v>232</v>
      </c>
      <c r="D59" s="284">
        <v>161.45600000000002</v>
      </c>
      <c r="E59" s="335">
        <v>5</v>
      </c>
      <c r="F59" s="343">
        <f t="shared" si="13"/>
        <v>807.28000000000009</v>
      </c>
      <c r="H59" s="292"/>
      <c r="I59" s="293" t="s">
        <v>232</v>
      </c>
      <c r="J59" s="280">
        <v>1199.1679999999999</v>
      </c>
      <c r="K59" s="280">
        <v>5.0614004957336416</v>
      </c>
      <c r="L59" s="335">
        <f t="shared" si="12"/>
        <v>60.69469509667919</v>
      </c>
      <c r="M59" s="335">
        <v>5</v>
      </c>
      <c r="N59" s="343">
        <f t="shared" si="14"/>
        <v>5995.8399999999992</v>
      </c>
      <c r="P59" s="292"/>
      <c r="Q59" s="293" t="s">
        <v>232</v>
      </c>
      <c r="R59" s="335">
        <f t="shared" si="15"/>
        <v>1360.6239999999998</v>
      </c>
      <c r="S59" s="335">
        <v>5</v>
      </c>
      <c r="T59" s="343">
        <f t="shared" si="16"/>
        <v>6803.119999999999</v>
      </c>
    </row>
    <row r="60" spans="1:25" ht="13.5" thickBot="1" x14ac:dyDescent="0.25">
      <c r="A60" s="278"/>
      <c r="B60" s="297"/>
      <c r="C60" s="298" t="s">
        <v>233</v>
      </c>
      <c r="D60" s="299">
        <v>156.49700000000001</v>
      </c>
      <c r="E60" s="336">
        <v>5</v>
      </c>
      <c r="F60" s="344">
        <f t="shared" si="13"/>
        <v>782.48500000000013</v>
      </c>
      <c r="H60" s="297"/>
      <c r="I60" s="298" t="s">
        <v>233</v>
      </c>
      <c r="J60" s="300">
        <v>1288.5909999999999</v>
      </c>
      <c r="K60" s="300">
        <v>5.2217546866884801</v>
      </c>
      <c r="L60" s="336">
        <f t="shared" si="12"/>
        <v>67.287060934745952</v>
      </c>
      <c r="M60" s="336">
        <v>5</v>
      </c>
      <c r="N60" s="344">
        <f t="shared" si="14"/>
        <v>6442.9549999999999</v>
      </c>
      <c r="P60" s="297"/>
      <c r="Q60" s="298" t="s">
        <v>233</v>
      </c>
      <c r="R60" s="336">
        <f t="shared" si="15"/>
        <v>1445.088</v>
      </c>
      <c r="S60" s="336">
        <v>5</v>
      </c>
      <c r="T60" s="344">
        <f t="shared" si="16"/>
        <v>7225.44</v>
      </c>
      <c r="X60">
        <v>1000</v>
      </c>
    </row>
    <row r="61" spans="1:25" x14ac:dyDescent="0.2">
      <c r="A61" s="278"/>
      <c r="B61" s="302"/>
      <c r="C61" s="303"/>
      <c r="D61" s="284"/>
      <c r="E61" s="285"/>
      <c r="F61" s="279"/>
      <c r="H61" s="302"/>
      <c r="I61" s="303"/>
      <c r="J61" s="285"/>
      <c r="K61" s="285"/>
      <c r="L61" s="285"/>
      <c r="M61" s="285"/>
      <c r="N61" s="279"/>
      <c r="P61" s="302"/>
      <c r="Q61" s="303"/>
      <c r="R61" s="284"/>
      <c r="S61" s="285"/>
      <c r="T61" s="279"/>
    </row>
    <row r="63" spans="1:25" ht="17.25" customHeight="1" x14ac:dyDescent="0.2">
      <c r="B63" s="1022" t="s">
        <v>703</v>
      </c>
      <c r="C63" s="1023"/>
      <c r="D63" s="1023"/>
      <c r="E63" s="1023"/>
      <c r="F63" s="1023"/>
      <c r="G63" s="1023"/>
      <c r="H63" s="1023"/>
      <c r="I63" s="1023"/>
      <c r="J63" s="1023"/>
      <c r="K63" s="1023"/>
      <c r="L63" s="1023"/>
      <c r="M63" s="1023"/>
      <c r="N63" s="1023"/>
      <c r="O63" s="1023"/>
      <c r="P63" s="1023"/>
      <c r="Q63" s="1023"/>
      <c r="R63" s="1023"/>
      <c r="S63" s="1023"/>
      <c r="T63" s="1023"/>
      <c r="U63" s="1023"/>
      <c r="V63" s="1023"/>
      <c r="W63" s="1023"/>
      <c r="X63" s="1023"/>
      <c r="Y63" s="1023"/>
    </row>
    <row r="64" spans="1:25" ht="26.25" thickBot="1" x14ac:dyDescent="0.25">
      <c r="B64" s="523" t="s">
        <v>78</v>
      </c>
      <c r="C64" s="510" t="s">
        <v>480</v>
      </c>
      <c r="D64" s="510" t="s">
        <v>612</v>
      </c>
      <c r="E64" s="510" t="s">
        <v>614</v>
      </c>
      <c r="F64" s="510" t="s">
        <v>615</v>
      </c>
      <c r="G64" s="510" t="s">
        <v>694</v>
      </c>
      <c r="H64" s="510" t="s">
        <v>695</v>
      </c>
      <c r="I64" s="510" t="s">
        <v>696</v>
      </c>
      <c r="J64" s="510" t="s">
        <v>697</v>
      </c>
      <c r="K64" s="510" t="s">
        <v>88</v>
      </c>
      <c r="L64" s="510" t="s">
        <v>698</v>
      </c>
      <c r="M64" s="510" t="s">
        <v>699</v>
      </c>
      <c r="N64" s="510" t="s">
        <v>700</v>
      </c>
      <c r="O64" s="510" t="s">
        <v>94</v>
      </c>
      <c r="P64" s="510" t="s">
        <v>95</v>
      </c>
      <c r="Q64" s="510" t="s">
        <v>96</v>
      </c>
      <c r="R64" s="510" t="s">
        <v>97</v>
      </c>
      <c r="S64" s="510" t="s">
        <v>98</v>
      </c>
      <c r="T64" s="510" t="s">
        <v>99</v>
      </c>
      <c r="U64" s="510" t="s">
        <v>100</v>
      </c>
      <c r="V64" s="510" t="s">
        <v>101</v>
      </c>
      <c r="W64" s="510" t="s">
        <v>102</v>
      </c>
      <c r="X64" s="510" t="s">
        <v>103</v>
      </c>
      <c r="Y64" s="510" t="s">
        <v>701</v>
      </c>
    </row>
    <row r="65" spans="2:25" x14ac:dyDescent="0.2">
      <c r="B65" s="304"/>
      <c r="C65" s="305" t="s">
        <v>332</v>
      </c>
      <c r="D65" s="522">
        <v>1429.4169999999999</v>
      </c>
      <c r="E65" s="522">
        <v>1357.6379999999999</v>
      </c>
      <c r="F65" s="522">
        <v>71.779000000000011</v>
      </c>
      <c r="G65" s="522">
        <v>634.81399999999996</v>
      </c>
      <c r="H65" s="522">
        <v>128.60199999999998</v>
      </c>
      <c r="I65" s="522">
        <v>266.51900000000001</v>
      </c>
      <c r="J65" s="522">
        <v>113.26499999999999</v>
      </c>
      <c r="K65" s="522">
        <v>55.625</v>
      </c>
      <c r="L65" s="522">
        <v>63.181999999999995</v>
      </c>
      <c r="M65" s="522">
        <v>50.473999999999997</v>
      </c>
      <c r="N65" s="522">
        <v>45.151000000000003</v>
      </c>
      <c r="O65" s="522">
        <v>20.876000000000001</v>
      </c>
      <c r="P65" s="522">
        <v>24.456</v>
      </c>
      <c r="Q65" s="522">
        <v>2.0170000000000003</v>
      </c>
      <c r="R65" s="522">
        <v>5.7119999999999997</v>
      </c>
      <c r="S65" s="522">
        <v>4.51</v>
      </c>
      <c r="T65" s="522">
        <v>2.2759999999999998</v>
      </c>
      <c r="U65" s="522">
        <v>5.0999999999999997E-2</v>
      </c>
      <c r="V65" s="522">
        <v>0</v>
      </c>
      <c r="W65" s="522">
        <v>0.95600000000000007</v>
      </c>
      <c r="X65" s="522">
        <v>0</v>
      </c>
      <c r="Y65" s="332">
        <v>10.922000000000001</v>
      </c>
    </row>
    <row r="66" spans="2:25" x14ac:dyDescent="0.2">
      <c r="B66" s="292"/>
      <c r="C66" s="293" t="s">
        <v>222</v>
      </c>
      <c r="D66" s="522">
        <v>1197.816</v>
      </c>
      <c r="E66" s="522">
        <v>1151.4490000000001</v>
      </c>
      <c r="F66" s="522">
        <v>46.368000000000002</v>
      </c>
      <c r="G66" s="522">
        <v>490.27799999999996</v>
      </c>
      <c r="H66" s="522">
        <v>122.55900000000001</v>
      </c>
      <c r="I66" s="522">
        <v>256.41499999999996</v>
      </c>
      <c r="J66" s="522">
        <v>66.272000000000006</v>
      </c>
      <c r="K66" s="522">
        <v>62.436</v>
      </c>
      <c r="L66" s="522">
        <v>68.00200000000001</v>
      </c>
      <c r="M66" s="522">
        <v>39.236999999999995</v>
      </c>
      <c r="N66" s="522">
        <v>46.250999999999998</v>
      </c>
      <c r="O66" s="522">
        <v>12.407</v>
      </c>
      <c r="P66" s="522">
        <v>14.593000000000002</v>
      </c>
      <c r="Q66" s="522">
        <v>1.7309999999999999</v>
      </c>
      <c r="R66" s="522">
        <v>3.0200000000000005</v>
      </c>
      <c r="S66" s="522">
        <v>4.2509999999999994</v>
      </c>
      <c r="T66" s="522">
        <v>1.65</v>
      </c>
      <c r="U66" s="522">
        <v>0.104</v>
      </c>
      <c r="V66" s="522">
        <v>0</v>
      </c>
      <c r="W66" s="522">
        <v>0.26799999999999996</v>
      </c>
      <c r="X66" s="522">
        <v>0</v>
      </c>
      <c r="Y66" s="283">
        <v>8.343</v>
      </c>
    </row>
    <row r="67" spans="2:25" x14ac:dyDescent="0.2">
      <c r="B67" s="292"/>
      <c r="C67" s="293" t="s">
        <v>225</v>
      </c>
      <c r="D67" s="522">
        <v>1201.6890000000001</v>
      </c>
      <c r="E67" s="522">
        <v>1122.9359999999999</v>
      </c>
      <c r="F67" s="522">
        <v>78.750999999999991</v>
      </c>
      <c r="G67" s="522">
        <v>478.76400000000007</v>
      </c>
      <c r="H67" s="522">
        <v>123.711</v>
      </c>
      <c r="I67" s="522">
        <v>261.47700000000003</v>
      </c>
      <c r="J67" s="522">
        <v>43.760000000000005</v>
      </c>
      <c r="K67" s="522">
        <v>67.867000000000004</v>
      </c>
      <c r="L67" s="522">
        <v>74.453999999999994</v>
      </c>
      <c r="M67" s="522">
        <v>34.271000000000001</v>
      </c>
      <c r="N67" s="522">
        <v>38.637</v>
      </c>
      <c r="O67" s="522">
        <v>21.911000000000001</v>
      </c>
      <c r="P67" s="522">
        <v>28.747</v>
      </c>
      <c r="Q67" s="522">
        <v>2.1259999999999999</v>
      </c>
      <c r="R67" s="522">
        <v>5.4719999999999995</v>
      </c>
      <c r="S67" s="522">
        <v>4.9320000000000004</v>
      </c>
      <c r="T67" s="522">
        <v>2.5349999999999997</v>
      </c>
      <c r="U67" s="522">
        <v>0.1</v>
      </c>
      <c r="V67" s="522">
        <v>0</v>
      </c>
      <c r="W67" s="522">
        <v>0.63400000000000001</v>
      </c>
      <c r="X67" s="522">
        <v>4.0000000000000001E-3</v>
      </c>
      <c r="Y67" s="283">
        <v>12.296999999999999</v>
      </c>
    </row>
    <row r="68" spans="2:25" x14ac:dyDescent="0.2">
      <c r="B68" s="292"/>
      <c r="C68" s="293" t="s">
        <v>226</v>
      </c>
      <c r="D68" s="522">
        <v>1220.8919999999998</v>
      </c>
      <c r="E68" s="522">
        <v>1146.115</v>
      </c>
      <c r="F68" s="522">
        <v>74.778000000000006</v>
      </c>
      <c r="G68" s="522">
        <v>495.99900000000002</v>
      </c>
      <c r="H68" s="522">
        <v>114.34599999999999</v>
      </c>
      <c r="I68" s="522">
        <v>255.84699999999992</v>
      </c>
      <c r="J68" s="522">
        <v>50.881999999999998</v>
      </c>
      <c r="K68" s="522">
        <v>56.710999999999999</v>
      </c>
      <c r="L68" s="522">
        <v>99.063000000000002</v>
      </c>
      <c r="M68" s="522">
        <v>22.553000000000001</v>
      </c>
      <c r="N68" s="522">
        <v>50.713999999999999</v>
      </c>
      <c r="O68" s="522">
        <v>17.577000000000002</v>
      </c>
      <c r="P68" s="522">
        <v>30.381000000000004</v>
      </c>
      <c r="Q68" s="522">
        <v>2.7490000000000001</v>
      </c>
      <c r="R68" s="522">
        <v>5.1989999999999998</v>
      </c>
      <c r="S68" s="522">
        <v>4.6639999999999997</v>
      </c>
      <c r="T68" s="522">
        <v>2.262</v>
      </c>
      <c r="U68" s="522">
        <v>0.112</v>
      </c>
      <c r="V68" s="522">
        <v>0</v>
      </c>
      <c r="W68" s="522">
        <v>0.39600000000000002</v>
      </c>
      <c r="X68" s="522">
        <v>5.0000000000000001E-3</v>
      </c>
      <c r="Y68" s="283">
        <v>11.434000000000001</v>
      </c>
    </row>
    <row r="69" spans="2:25" x14ac:dyDescent="0.2">
      <c r="B69" s="292"/>
      <c r="C69" s="293" t="s">
        <v>227</v>
      </c>
      <c r="D69" s="522">
        <v>1183.9169999999999</v>
      </c>
      <c r="E69" s="522">
        <v>1094.79</v>
      </c>
      <c r="F69" s="522">
        <v>89.126000000000005</v>
      </c>
      <c r="G69" s="522">
        <v>458.39300000000003</v>
      </c>
      <c r="H69" s="522">
        <v>96.797000000000011</v>
      </c>
      <c r="I69" s="522">
        <v>274.34600000000006</v>
      </c>
      <c r="J69" s="522">
        <v>35.426000000000002</v>
      </c>
      <c r="K69" s="522">
        <v>61.542999999999999</v>
      </c>
      <c r="L69" s="522">
        <v>114.209</v>
      </c>
      <c r="M69" s="522">
        <v>16.981000000000002</v>
      </c>
      <c r="N69" s="522">
        <v>37.094999999999999</v>
      </c>
      <c r="O69" s="522">
        <v>21.233000000000001</v>
      </c>
      <c r="P69" s="522">
        <v>35.029000000000003</v>
      </c>
      <c r="Q69" s="522">
        <v>3.2989999999999999</v>
      </c>
      <c r="R69" s="522">
        <v>6.8479999999999999</v>
      </c>
      <c r="S69" s="522">
        <v>6</v>
      </c>
      <c r="T69" s="522">
        <v>2.4279999999999999</v>
      </c>
      <c r="U69" s="522">
        <v>8.6000000000000007E-2</v>
      </c>
      <c r="V69" s="522">
        <v>0</v>
      </c>
      <c r="W69" s="522">
        <v>0.8</v>
      </c>
      <c r="X69" s="522">
        <v>4.0000000000000008E-2</v>
      </c>
      <c r="Y69" s="283">
        <v>13.362</v>
      </c>
    </row>
    <row r="70" spans="2:25" x14ac:dyDescent="0.2">
      <c r="B70" s="292"/>
      <c r="C70" s="293" t="s">
        <v>228</v>
      </c>
      <c r="D70" s="522">
        <v>1239.4530000000002</v>
      </c>
      <c r="E70" s="522">
        <v>1100.3589999999999</v>
      </c>
      <c r="F70" s="522">
        <v>139.09399999999999</v>
      </c>
      <c r="G70" s="522">
        <v>433.029</v>
      </c>
      <c r="H70" s="522">
        <v>94.827999999999989</v>
      </c>
      <c r="I70" s="522">
        <v>262.63900000000007</v>
      </c>
      <c r="J70" s="522">
        <v>55.984000000000002</v>
      </c>
      <c r="K70" s="522">
        <v>64.763000000000005</v>
      </c>
      <c r="L70" s="522">
        <v>128.69800000000001</v>
      </c>
      <c r="M70" s="522">
        <v>4.6109999999999998</v>
      </c>
      <c r="N70" s="522">
        <v>55.804999999999993</v>
      </c>
      <c r="O70" s="522">
        <v>27.557000000000002</v>
      </c>
      <c r="P70" s="522">
        <v>75.396000000000001</v>
      </c>
      <c r="Q70" s="522">
        <v>3.3370000000000002</v>
      </c>
      <c r="R70" s="522">
        <v>6.3150000000000004</v>
      </c>
      <c r="S70" s="522">
        <v>7.8689999999999998</v>
      </c>
      <c r="T70" s="522">
        <v>2.7010000000000005</v>
      </c>
      <c r="U70" s="522">
        <v>0.10999999999999999</v>
      </c>
      <c r="V70" s="522">
        <v>0</v>
      </c>
      <c r="W70" s="522">
        <v>0.47699999999999998</v>
      </c>
      <c r="X70" s="522">
        <v>1.4999999999999999E-2</v>
      </c>
      <c r="Y70" s="283">
        <v>15.318</v>
      </c>
    </row>
    <row r="71" spans="2:25" x14ac:dyDescent="0.2">
      <c r="B71" s="292"/>
      <c r="C71" s="293" t="s">
        <v>333</v>
      </c>
      <c r="D71" s="522">
        <v>1313.9010000000001</v>
      </c>
      <c r="E71" s="522">
        <v>1120.8820000000001</v>
      </c>
      <c r="F71" s="522">
        <v>193.01599999999999</v>
      </c>
      <c r="G71" s="522">
        <v>456.46199999999999</v>
      </c>
      <c r="H71" s="522">
        <v>93.313000000000002</v>
      </c>
      <c r="I71" s="522">
        <v>225.339</v>
      </c>
      <c r="J71" s="522">
        <v>59.093000000000011</v>
      </c>
      <c r="K71" s="522">
        <v>87.286000000000001</v>
      </c>
      <c r="L71" s="522">
        <v>134.15099999999998</v>
      </c>
      <c r="M71" s="522">
        <v>4.5609999999999991</v>
      </c>
      <c r="N71" s="522">
        <v>60.675000000000004</v>
      </c>
      <c r="O71" s="522">
        <v>75.267999999999986</v>
      </c>
      <c r="P71" s="522">
        <v>48.073999999999998</v>
      </c>
      <c r="Q71" s="522">
        <v>6.1819999999999995</v>
      </c>
      <c r="R71" s="522">
        <v>23.157000000000004</v>
      </c>
      <c r="S71" s="522">
        <v>11.052999999999999</v>
      </c>
      <c r="T71" s="522">
        <v>3.1910000000000003</v>
      </c>
      <c r="U71" s="522">
        <v>0.15100000000000002</v>
      </c>
      <c r="V71" s="522">
        <v>0</v>
      </c>
      <c r="W71" s="522">
        <v>1.256</v>
      </c>
      <c r="X71" s="522">
        <v>4.5999999999999999E-2</v>
      </c>
      <c r="Y71" s="283">
        <v>24.633000000000003</v>
      </c>
    </row>
    <row r="72" spans="2:25" x14ac:dyDescent="0.2">
      <c r="B72" s="292"/>
      <c r="C72" s="293" t="s">
        <v>334</v>
      </c>
      <c r="D72" s="522">
        <v>1198.6120000000003</v>
      </c>
      <c r="E72" s="522">
        <v>1071.3799999999999</v>
      </c>
      <c r="F72" s="522">
        <v>127.23299999999998</v>
      </c>
      <c r="G72" s="522">
        <v>457.69300000000004</v>
      </c>
      <c r="H72" s="522">
        <v>99.399999999999991</v>
      </c>
      <c r="I72" s="522">
        <v>194.38</v>
      </c>
      <c r="J72" s="522">
        <v>58.812999999999995</v>
      </c>
      <c r="K72" s="522">
        <v>67.685999999999993</v>
      </c>
      <c r="L72" s="522">
        <v>125.453</v>
      </c>
      <c r="M72" s="522">
        <v>6.4719999999999995</v>
      </c>
      <c r="N72" s="522">
        <v>61.487000000000002</v>
      </c>
      <c r="O72" s="522">
        <v>38.143000000000001</v>
      </c>
      <c r="P72" s="522">
        <v>43.546000000000006</v>
      </c>
      <c r="Q72" s="522">
        <v>4.3099999999999996</v>
      </c>
      <c r="R72" s="522">
        <v>9.9439999999999991</v>
      </c>
      <c r="S72" s="522">
        <v>9.3889999999999993</v>
      </c>
      <c r="T72" s="522">
        <v>2.262</v>
      </c>
      <c r="U72" s="522">
        <v>0.16300000000000001</v>
      </c>
      <c r="V72" s="522">
        <v>0</v>
      </c>
      <c r="W72" s="522">
        <v>0.66200000000000003</v>
      </c>
      <c r="X72" s="522">
        <v>2.1000000000000001E-2</v>
      </c>
      <c r="Y72" s="283">
        <v>18.787000000000003</v>
      </c>
    </row>
    <row r="73" spans="2:25" x14ac:dyDescent="0.2">
      <c r="B73" s="292"/>
      <c r="C73" s="293" t="s">
        <v>231</v>
      </c>
      <c r="D73" s="522">
        <v>1037.155</v>
      </c>
      <c r="E73" s="522">
        <v>903.8119999999999</v>
      </c>
      <c r="F73" s="522">
        <v>133.34199999999998</v>
      </c>
      <c r="G73" s="522">
        <v>370.92600000000004</v>
      </c>
      <c r="H73" s="522">
        <v>93.757999999999996</v>
      </c>
      <c r="I73" s="522">
        <v>130.61600000000001</v>
      </c>
      <c r="J73" s="522">
        <v>58.156000000000006</v>
      </c>
      <c r="K73" s="522">
        <v>51.921999999999997</v>
      </c>
      <c r="L73" s="522">
        <v>127.724</v>
      </c>
      <c r="M73" s="522">
        <v>6.6949999999999994</v>
      </c>
      <c r="N73" s="522">
        <v>64.006999999999991</v>
      </c>
      <c r="O73" s="522">
        <v>41.222999999999999</v>
      </c>
      <c r="P73" s="522">
        <v>43.886000000000003</v>
      </c>
      <c r="Q73" s="522">
        <v>4.4420000000000002</v>
      </c>
      <c r="R73" s="522">
        <v>8.2840000000000007</v>
      </c>
      <c r="S73" s="522">
        <v>12.567</v>
      </c>
      <c r="T73" s="522">
        <v>2.7369999999999997</v>
      </c>
      <c r="U73" s="522">
        <v>0.13800000000000001</v>
      </c>
      <c r="V73" s="522">
        <v>0</v>
      </c>
      <c r="W73" s="522">
        <v>0.74399999999999999</v>
      </c>
      <c r="X73" s="522">
        <v>3.9999999999999994E-2</v>
      </c>
      <c r="Y73" s="283">
        <v>19.277000000000001</v>
      </c>
    </row>
    <row r="74" spans="2:25" x14ac:dyDescent="0.2">
      <c r="B74" s="292"/>
      <c r="C74" s="293" t="s">
        <v>232</v>
      </c>
      <c r="D74" s="522">
        <v>1587.364</v>
      </c>
      <c r="E74" s="522">
        <v>1425.9059999999999</v>
      </c>
      <c r="F74" s="522">
        <v>161.45600000000002</v>
      </c>
      <c r="G74" s="522">
        <v>656.6690000000001</v>
      </c>
      <c r="H74" s="522">
        <v>167.32299999999998</v>
      </c>
      <c r="I74" s="522">
        <v>122.66499999999999</v>
      </c>
      <c r="J74" s="522">
        <v>123.48</v>
      </c>
      <c r="K74" s="522">
        <v>99.765000000000001</v>
      </c>
      <c r="L74" s="522">
        <v>145.53800000000001</v>
      </c>
      <c r="M74" s="522">
        <v>10.158000000000001</v>
      </c>
      <c r="N74" s="522">
        <v>100.31</v>
      </c>
      <c r="O74" s="522">
        <v>45.08</v>
      </c>
      <c r="P74" s="522">
        <v>62.376999999999995</v>
      </c>
      <c r="Q74" s="522">
        <v>3.4969999999999994</v>
      </c>
      <c r="R74" s="522">
        <v>8.6989999999999981</v>
      </c>
      <c r="S74" s="522">
        <v>19.303000000000001</v>
      </c>
      <c r="T74" s="522">
        <v>2.7710000000000004</v>
      </c>
      <c r="U74" s="522">
        <v>0.251</v>
      </c>
      <c r="V74" s="522">
        <v>0</v>
      </c>
      <c r="W74" s="522">
        <v>0.76600000000000013</v>
      </c>
      <c r="X74" s="522">
        <v>9.0000000000000011E-3</v>
      </c>
      <c r="Y74" s="283">
        <v>18.697000000000003</v>
      </c>
    </row>
    <row r="75" spans="2:25" ht="13.5" thickBot="1" x14ac:dyDescent="0.25">
      <c r="B75" s="297"/>
      <c r="C75" s="298" t="s">
        <v>233</v>
      </c>
      <c r="D75" s="524">
        <v>1025.4309999999998</v>
      </c>
      <c r="E75" s="524">
        <v>868.93399999999997</v>
      </c>
      <c r="F75" s="524">
        <v>156.49700000000001</v>
      </c>
      <c r="G75" s="524">
        <v>284.83499999999998</v>
      </c>
      <c r="H75" s="524">
        <v>113.131</v>
      </c>
      <c r="I75" s="524">
        <v>73.966000000000008</v>
      </c>
      <c r="J75" s="524">
        <v>62.459000000000003</v>
      </c>
      <c r="K75" s="524">
        <v>41.011999999999993</v>
      </c>
      <c r="L75" s="524">
        <v>178.51799999999997</v>
      </c>
      <c r="M75" s="524">
        <v>6.2779999999999996</v>
      </c>
      <c r="N75" s="524">
        <v>108.73400000000001</v>
      </c>
      <c r="O75" s="524">
        <v>54.809999999999995</v>
      </c>
      <c r="P75" s="524">
        <v>57.134</v>
      </c>
      <c r="Q75" s="524">
        <v>2.9590000000000001</v>
      </c>
      <c r="R75" s="524">
        <v>6.9059999999999997</v>
      </c>
      <c r="S75" s="524">
        <v>14.669999999999998</v>
      </c>
      <c r="T75" s="524">
        <v>2.536</v>
      </c>
      <c r="U75" s="524">
        <v>0.76</v>
      </c>
      <c r="V75" s="524">
        <v>0</v>
      </c>
      <c r="W75" s="524">
        <v>1.133</v>
      </c>
      <c r="X75" s="524">
        <v>4.0999999999999995E-2</v>
      </c>
      <c r="Y75" s="333">
        <v>15.545999999999999</v>
      </c>
    </row>
  </sheetData>
  <mergeCells count="13">
    <mergeCell ref="B63:Y63"/>
    <mergeCell ref="B3:F3"/>
    <mergeCell ref="H3:N3"/>
    <mergeCell ref="P3:T3"/>
    <mergeCell ref="B18:F18"/>
    <mergeCell ref="H18:N18"/>
    <mergeCell ref="P18:T18"/>
    <mergeCell ref="B33:F33"/>
    <mergeCell ref="H33:N33"/>
    <mergeCell ref="P33:T33"/>
    <mergeCell ref="B48:F48"/>
    <mergeCell ref="H48:N48"/>
    <mergeCell ref="P48:T48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265</v>
      </c>
      <c r="C3" t="s">
        <v>409</v>
      </c>
    </row>
    <row r="5" spans="2:12" ht="15" customHeight="1" x14ac:dyDescent="0.2">
      <c r="B5" s="1157" t="s">
        <v>376</v>
      </c>
      <c r="C5" s="1141" t="s">
        <v>388</v>
      </c>
      <c r="D5" s="1141"/>
      <c r="E5" s="1141"/>
      <c r="F5" s="1133"/>
      <c r="G5" s="25"/>
      <c r="H5" s="1157" t="s">
        <v>376</v>
      </c>
      <c r="I5" s="1021" t="s">
        <v>282</v>
      </c>
      <c r="J5" s="1089"/>
      <c r="K5" s="1089"/>
      <c r="L5" s="1018"/>
    </row>
    <row r="6" spans="2:12" ht="45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306" t="s">
        <v>326</v>
      </c>
      <c r="J7" s="36" t="s">
        <v>326</v>
      </c>
      <c r="K7" s="307" t="s">
        <v>280</v>
      </c>
      <c r="L7" s="27" t="s">
        <v>280</v>
      </c>
    </row>
    <row r="8" spans="2:12" ht="15" customHeight="1" x14ac:dyDescent="0.2">
      <c r="B8" s="192"/>
      <c r="C8" s="63"/>
      <c r="D8" s="63"/>
      <c r="E8" s="51"/>
      <c r="F8" s="64"/>
      <c r="G8" s="25"/>
      <c r="H8" s="192"/>
      <c r="I8" s="65"/>
      <c r="J8" s="66"/>
      <c r="K8" s="55"/>
      <c r="L8" s="56"/>
    </row>
    <row r="9" spans="2:12" ht="15" customHeight="1" x14ac:dyDescent="0.2">
      <c r="B9" s="28" t="str">
        <f>Index!$B$4</f>
        <v>England</v>
      </c>
      <c r="C9" s="67">
        <f>'Section 13 data'!$J$8</f>
        <v>3345.3009999999999</v>
      </c>
      <c r="D9" s="67">
        <f>'Section 13 data'!$K$8</f>
        <v>50885.180999999997</v>
      </c>
      <c r="E9" s="58">
        <f>'Section 13 data'!$L$8</f>
        <v>3.4947469097501185</v>
      </c>
      <c r="F9" s="77">
        <f>SUM(C9,D9)</f>
        <v>54230.481999999996</v>
      </c>
      <c r="G9" s="25"/>
      <c r="H9" s="28" t="str">
        <f>Index!$B$4</f>
        <v>England</v>
      </c>
      <c r="I9" s="68">
        <f>'Section 13 data'!$N$7</f>
        <v>177942.09700000001</v>
      </c>
      <c r="J9" s="43">
        <f>'Section 13 data'!$N$5</f>
        <v>267859.15499999997</v>
      </c>
      <c r="K9" s="43">
        <f>IF(I9=0,0,100*F9/I9)</f>
        <v>30.476476850781403</v>
      </c>
      <c r="L9" s="61">
        <f>IF(J9=0,0,100*F9/J9)</f>
        <v>20.245894526173654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BEBC85D-1327-44C3-BFEA-C6FA6EC56C05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FCCEE10D-7E70-446B-B763-07467FE735B9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331</v>
      </c>
      <c r="C3" t="s">
        <v>410</v>
      </c>
    </row>
    <row r="5" spans="2:12" ht="15" customHeight="1" x14ac:dyDescent="0.2">
      <c r="B5" s="1157" t="s">
        <v>380</v>
      </c>
      <c r="C5" s="1141" t="s">
        <v>389</v>
      </c>
      <c r="D5" s="1141"/>
      <c r="E5" s="1141"/>
      <c r="F5" s="1133"/>
      <c r="G5" s="25"/>
      <c r="H5" s="1157" t="s">
        <v>380</v>
      </c>
      <c r="I5" s="1021" t="s">
        <v>284</v>
      </c>
      <c r="J5" s="1089"/>
      <c r="K5" s="1089"/>
      <c r="L5" s="1018"/>
    </row>
    <row r="6" spans="2:12" ht="45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45" customHeight="1" x14ac:dyDescent="0.2">
      <c r="B7" s="1155"/>
      <c r="C7" s="31" t="s">
        <v>285</v>
      </c>
      <c r="D7" s="31" t="s">
        <v>285</v>
      </c>
      <c r="E7" s="12" t="s">
        <v>82</v>
      </c>
      <c r="F7" s="32" t="s">
        <v>285</v>
      </c>
      <c r="G7" s="25"/>
      <c r="H7" s="1155"/>
      <c r="I7" s="306" t="s">
        <v>285</v>
      </c>
      <c r="J7" s="36" t="s">
        <v>285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67">
        <f>'Section 13 data'!$Q$8/1000</f>
        <v>16.920057</v>
      </c>
      <c r="D9" s="67">
        <f>'Section 13 data'!$R$8/1000</f>
        <v>91.445639</v>
      </c>
      <c r="E9" s="58">
        <f>'Section 13 data'!$S$8</f>
        <v>3.4430090989665878</v>
      </c>
      <c r="F9" s="77">
        <f>SUM(C9,D9)</f>
        <v>108.365696</v>
      </c>
      <c r="G9" s="25"/>
      <c r="H9" s="28" t="str">
        <f>Index!$B$4</f>
        <v>England</v>
      </c>
      <c r="I9" s="68">
        <f>'Section 13 data'!$U$7/1000</f>
        <v>1041.4787060000001</v>
      </c>
      <c r="J9" s="43">
        <f>'Section 13 data'!$U$5/1000</f>
        <v>1347.4507200000003</v>
      </c>
      <c r="K9" s="43">
        <f>IF(I9=0,0,100*F9/I9)</f>
        <v>10.404984314676906</v>
      </c>
      <c r="L9" s="61">
        <f>IF(J9=0,0,100*F9/J9)</f>
        <v>8.0422752677737996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B427CEE-D154-496C-A202-6E1E77E6D165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3A19C37A-8D2D-4442-9070-AC1C73D57732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426</v>
      </c>
      <c r="C3" t="s">
        <v>416</v>
      </c>
    </row>
    <row r="5" spans="2:12" ht="15" customHeight="1" x14ac:dyDescent="0.2">
      <c r="B5" s="1157" t="s">
        <v>376</v>
      </c>
      <c r="C5" s="1141" t="s">
        <v>390</v>
      </c>
      <c r="D5" s="1141"/>
      <c r="E5" s="1141"/>
      <c r="F5" s="1133"/>
      <c r="H5" s="1157" t="s">
        <v>376</v>
      </c>
      <c r="I5" s="1021" t="s">
        <v>274</v>
      </c>
      <c r="J5" s="1089"/>
      <c r="K5" s="1089"/>
      <c r="L5" s="1018"/>
    </row>
    <row r="6" spans="2:12" ht="60" customHeight="1" x14ac:dyDescent="0.2">
      <c r="B6" s="1153"/>
      <c r="C6" s="13" t="s">
        <v>78</v>
      </c>
      <c r="D6" s="1162" t="s">
        <v>79</v>
      </c>
      <c r="E6" s="1162"/>
      <c r="F6" s="30" t="s">
        <v>275</v>
      </c>
      <c r="H6" s="1153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306" t="s">
        <v>81</v>
      </c>
      <c r="J7" s="36" t="s">
        <v>81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57">
        <f>'Section 14 data'!C8</f>
        <v>0.8</v>
      </c>
      <c r="D9" s="57">
        <f>'Section 14 data'!D8</f>
        <v>29.271480000000004</v>
      </c>
      <c r="E9" s="58">
        <f>'Section 14 data'!$E$8</f>
        <v>7.1523689695188057</v>
      </c>
      <c r="F9" s="76">
        <f>SUM(C9,D9)</f>
        <v>30.071480000000005</v>
      </c>
      <c r="G9" s="25"/>
      <c r="H9" s="28" t="str">
        <f>Index!$B$4</f>
        <v>England</v>
      </c>
      <c r="I9" s="59">
        <f>'Section 14 data'!$G$7</f>
        <v>892.53000000000009</v>
      </c>
      <c r="J9" s="60">
        <f>'Section 14 data'!$G$5</f>
        <v>1197.57</v>
      </c>
      <c r="K9" s="43">
        <f>IF(I9=0,0,100*F9/I9)</f>
        <v>3.369240249627464</v>
      </c>
      <c r="L9" s="61">
        <f>IF(J9=0,0,100*F9/J9)</f>
        <v>2.5110415257563239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3CCD70A-295D-44AF-9405-3BCD754C155C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E38FFE6F-83B8-4B3D-9271-48340FB77608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427</v>
      </c>
      <c r="C3" t="s">
        <v>417</v>
      </c>
    </row>
    <row r="5" spans="2:12" ht="15" customHeight="1" x14ac:dyDescent="0.2">
      <c r="B5" s="1157" t="s">
        <v>376</v>
      </c>
      <c r="C5" s="1141" t="s">
        <v>393</v>
      </c>
      <c r="D5" s="1141"/>
      <c r="E5" s="1141"/>
      <c r="F5" s="1133"/>
      <c r="G5" s="25"/>
      <c r="H5" s="1157" t="s">
        <v>376</v>
      </c>
      <c r="I5" s="1021" t="s">
        <v>282</v>
      </c>
      <c r="J5" s="1089"/>
      <c r="K5" s="1089"/>
      <c r="L5" s="1018"/>
    </row>
    <row r="6" spans="2:12" ht="60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306" t="s">
        <v>326</v>
      </c>
      <c r="J7" s="36" t="s">
        <v>326</v>
      </c>
      <c r="K7" s="307" t="s">
        <v>280</v>
      </c>
      <c r="L7" s="27" t="s">
        <v>280</v>
      </c>
    </row>
    <row r="8" spans="2:12" ht="15" customHeight="1" x14ac:dyDescent="0.2">
      <c r="B8" s="192"/>
      <c r="C8" s="63"/>
      <c r="D8" s="63"/>
      <c r="E8" s="51"/>
      <c r="F8" s="64"/>
      <c r="G8" s="25"/>
      <c r="H8" s="192"/>
      <c r="I8" s="65"/>
      <c r="J8" s="66"/>
      <c r="K8" s="55"/>
      <c r="L8" s="56"/>
    </row>
    <row r="9" spans="2:12" ht="15" customHeight="1" x14ac:dyDescent="0.2">
      <c r="B9" s="28" t="str">
        <f>Index!$B$4</f>
        <v>England</v>
      </c>
      <c r="C9" s="67">
        <f>'Section 14 data'!$J$8</f>
        <v>126.63800000000001</v>
      </c>
      <c r="D9" s="67">
        <f>'Section 14 data'!$K$8</f>
        <v>7944.4719999999998</v>
      </c>
      <c r="E9" s="58">
        <f>'Section 14 data'!$L$8</f>
        <v>8.6048188787624422</v>
      </c>
      <c r="F9" s="77">
        <f>SUM(C9,D9)</f>
        <v>8071.11</v>
      </c>
      <c r="G9" s="25"/>
      <c r="H9" s="28" t="str">
        <f>Index!$B$4</f>
        <v>England</v>
      </c>
      <c r="I9" s="68">
        <f>'Section 14 data'!$N$7</f>
        <v>177942.09700000001</v>
      </c>
      <c r="J9" s="43">
        <f>'Section 14 data'!$N$5</f>
        <v>267859.15499999997</v>
      </c>
      <c r="K9" s="43">
        <f>IF(I9=0,0,100*F9/I9)</f>
        <v>4.5358069484816737</v>
      </c>
      <c r="L9" s="61">
        <f>IF(J9=0,0,100*F9/J9)</f>
        <v>3.0131917649034623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FAB4094-AFF7-4089-90E3-1E6EC07224D9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DA11456D-5854-444F-9BF0-50F1B57719BB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395</v>
      </c>
      <c r="C3" t="s">
        <v>418</v>
      </c>
    </row>
    <row r="5" spans="2:12" ht="15" customHeight="1" x14ac:dyDescent="0.2">
      <c r="B5" s="1157" t="s">
        <v>380</v>
      </c>
      <c r="C5" s="1141" t="s">
        <v>394</v>
      </c>
      <c r="D5" s="1141"/>
      <c r="E5" s="1141"/>
      <c r="F5" s="1133"/>
      <c r="G5" s="25"/>
      <c r="H5" s="1157" t="s">
        <v>380</v>
      </c>
      <c r="I5" s="1021" t="s">
        <v>284</v>
      </c>
      <c r="J5" s="1089"/>
      <c r="K5" s="1089"/>
      <c r="L5" s="1018"/>
    </row>
    <row r="6" spans="2:12" ht="60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45" customHeight="1" x14ac:dyDescent="0.2">
      <c r="B7" s="1155"/>
      <c r="C7" s="31" t="s">
        <v>285</v>
      </c>
      <c r="D7" s="31" t="s">
        <v>285</v>
      </c>
      <c r="E7" s="12" t="s">
        <v>82</v>
      </c>
      <c r="F7" s="32" t="s">
        <v>285</v>
      </c>
      <c r="G7" s="25"/>
      <c r="H7" s="1155"/>
      <c r="I7" s="306" t="s">
        <v>285</v>
      </c>
      <c r="J7" s="36" t="s">
        <v>285</v>
      </c>
      <c r="K7" s="307" t="s">
        <v>280</v>
      </c>
      <c r="L7" s="27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67">
        <f>'Section 14 data'!$Q$8/1000</f>
        <v>1.347237</v>
      </c>
      <c r="D9" s="67">
        <f>'Section 14 data'!$R$8/1000</f>
        <v>44.683402999999998</v>
      </c>
      <c r="E9" s="929">
        <f>'Section 14 data'!$S$8</f>
        <v>10.125367505067075</v>
      </c>
      <c r="F9" s="77">
        <f>SUM(C9,D9)</f>
        <v>46.030639999999998</v>
      </c>
      <c r="G9" s="843"/>
      <c r="H9" s="844" t="str">
        <f>Index!$B$4</f>
        <v>England</v>
      </c>
      <c r="I9" s="68">
        <f>'Section 14 data'!$U$7/1000</f>
        <v>1041.4787060000001</v>
      </c>
      <c r="J9" s="43">
        <f>'Section 14 data'!$U$5/1000</f>
        <v>1347.4507200000003</v>
      </c>
      <c r="K9" s="845">
        <f>IF(I9=0,0,100*F9/I9)</f>
        <v>4.4197389475959188</v>
      </c>
      <c r="L9" s="846">
        <f>IF(J9=0,0,100*F9/J9)</f>
        <v>3.4161279011376373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3EFC3F7-2D83-4425-9434-4AF5D19AA8A2}">
            <xm:f>IF($E9&gt;Sheet1!$F$4,1,)</xm:f>
            <x14:dxf>
              <font>
                <color theme="0" tint="-0.499984740745262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21AE2602-272D-4849-925A-240A249597BE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668</v>
      </c>
      <c r="C3" t="s">
        <v>649</v>
      </c>
    </row>
    <row r="5" spans="2:12" ht="15" customHeight="1" x14ac:dyDescent="0.2">
      <c r="B5" s="1157" t="s">
        <v>376</v>
      </c>
      <c r="C5" s="1141" t="s">
        <v>650</v>
      </c>
      <c r="D5" s="1141"/>
      <c r="E5" s="1141"/>
      <c r="F5" s="1133"/>
      <c r="H5" s="1157" t="s">
        <v>376</v>
      </c>
      <c r="I5" s="1021" t="s">
        <v>990</v>
      </c>
      <c r="J5" s="1089"/>
      <c r="K5" s="1089"/>
      <c r="L5" s="1018"/>
    </row>
    <row r="6" spans="2:12" ht="60" customHeight="1" x14ac:dyDescent="0.2">
      <c r="B6" s="1153"/>
      <c r="C6" s="13" t="s">
        <v>78</v>
      </c>
      <c r="D6" s="1162" t="s">
        <v>79</v>
      </c>
      <c r="E6" s="1162"/>
      <c r="F6" s="30" t="s">
        <v>275</v>
      </c>
      <c r="H6" s="1153"/>
      <c r="I6" s="33" t="s">
        <v>669</v>
      </c>
      <c r="J6" s="34" t="s">
        <v>277</v>
      </c>
      <c r="K6" s="34" t="s">
        <v>670</v>
      </c>
      <c r="L6" s="35" t="s">
        <v>651</v>
      </c>
    </row>
    <row r="7" spans="2:12" ht="30" customHeight="1" x14ac:dyDescent="0.2">
      <c r="B7" s="1153"/>
      <c r="C7" s="31" t="s">
        <v>81</v>
      </c>
      <c r="D7" s="31" t="s">
        <v>81</v>
      </c>
      <c r="E7" s="12" t="s">
        <v>82</v>
      </c>
      <c r="F7" s="32" t="s">
        <v>81</v>
      </c>
      <c r="H7" s="1153"/>
      <c r="I7" s="354" t="s">
        <v>81</v>
      </c>
      <c r="J7" s="36" t="s">
        <v>81</v>
      </c>
      <c r="K7" s="355" t="s">
        <v>280</v>
      </c>
      <c r="L7" s="356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57">
        <f>'Section 15 data'!$C$8</f>
        <v>9.9</v>
      </c>
      <c r="D9" s="57">
        <f>'Section 15 data'!$D$8</f>
        <v>30.346109999999999</v>
      </c>
      <c r="E9" s="58">
        <f>'Section 15 data'!$E$8</f>
        <v>5.0982243069023951</v>
      </c>
      <c r="F9" s="76">
        <f>SUM(C9,D9)</f>
        <v>40.246110000000002</v>
      </c>
      <c r="G9" s="25"/>
      <c r="H9" s="28" t="str">
        <f>Index!$B$4</f>
        <v>England</v>
      </c>
      <c r="I9" s="59">
        <f>'Section 15 data'!$G$6</f>
        <v>305.05</v>
      </c>
      <c r="J9" s="60">
        <f>'Section 15 data'!$G$5</f>
        <v>1197.57</v>
      </c>
      <c r="K9" s="43">
        <f>IF(I9=0,0,100*F9/I9)</f>
        <v>13.193283068349452</v>
      </c>
      <c r="L9" s="61">
        <f>IF(J9=0,0,100*F9/J9)</f>
        <v>3.360647811818934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95A2CC-18A9-451E-8D4C-D87498DF3F4E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F4FCEF00-ACB0-4810-B4EA-F43C72E7AEE2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671</v>
      </c>
      <c r="C3" t="s">
        <v>652</v>
      </c>
    </row>
    <row r="5" spans="2:12" ht="15" customHeight="1" x14ac:dyDescent="0.2">
      <c r="B5" s="1157" t="s">
        <v>376</v>
      </c>
      <c r="C5" s="1141" t="s">
        <v>653</v>
      </c>
      <c r="D5" s="1141"/>
      <c r="E5" s="1141"/>
      <c r="F5" s="1133"/>
      <c r="G5" s="25"/>
      <c r="H5" s="1157" t="s">
        <v>376</v>
      </c>
      <c r="I5" s="1021" t="s">
        <v>989</v>
      </c>
      <c r="J5" s="1089"/>
      <c r="K5" s="1089"/>
      <c r="L5" s="1018"/>
    </row>
    <row r="6" spans="2:12" ht="60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669</v>
      </c>
      <c r="J6" s="34" t="s">
        <v>277</v>
      </c>
      <c r="K6" s="34" t="s">
        <v>670</v>
      </c>
      <c r="L6" s="35" t="s">
        <v>651</v>
      </c>
    </row>
    <row r="7" spans="2:12" ht="30" customHeight="1" x14ac:dyDescent="0.2">
      <c r="B7" s="1155"/>
      <c r="C7" s="31" t="s">
        <v>326</v>
      </c>
      <c r="D7" s="31" t="s">
        <v>326</v>
      </c>
      <c r="E7" s="12" t="s">
        <v>82</v>
      </c>
      <c r="F7" s="32" t="s">
        <v>326</v>
      </c>
      <c r="G7" s="25"/>
      <c r="H7" s="1155"/>
      <c r="I7" s="354" t="s">
        <v>326</v>
      </c>
      <c r="J7" s="36" t="s">
        <v>326</v>
      </c>
      <c r="K7" s="355" t="s">
        <v>280</v>
      </c>
      <c r="L7" s="356" t="s">
        <v>280</v>
      </c>
    </row>
    <row r="8" spans="2:12" ht="15" customHeight="1" x14ac:dyDescent="0.2">
      <c r="B8" s="192"/>
      <c r="C8" s="63"/>
      <c r="D8" s="63"/>
      <c r="E8" s="51"/>
      <c r="F8" s="64"/>
      <c r="G8" s="25"/>
      <c r="H8" s="192"/>
      <c r="I8" s="65"/>
      <c r="J8" s="66"/>
      <c r="K8" s="55"/>
      <c r="L8" s="56"/>
    </row>
    <row r="9" spans="2:12" ht="15" customHeight="1" x14ac:dyDescent="0.2">
      <c r="B9" s="28" t="str">
        <f>Index!$B$4</f>
        <v>England</v>
      </c>
      <c r="C9" s="67">
        <f>'Section 15 data'!$J$8</f>
        <v>1677.8589999999999</v>
      </c>
      <c r="D9" s="67">
        <f>'Section 15 data'!$K$8</f>
        <v>10778.144</v>
      </c>
      <c r="E9" s="929">
        <f>'Section 15 data'!$L$8</f>
        <v>5.8904734254558937</v>
      </c>
      <c r="F9" s="77">
        <f>SUM(C9,D9)</f>
        <v>12456.003000000001</v>
      </c>
      <c r="G9" s="25"/>
      <c r="H9" s="28" t="str">
        <f>Index!$B$4</f>
        <v>England</v>
      </c>
      <c r="I9" s="67">
        <f>'Section 15 data'!$N$6</f>
        <v>89995.516000000003</v>
      </c>
      <c r="J9" s="67">
        <f>'Section 15 data'!$N$5</f>
        <v>267859.15499999997</v>
      </c>
      <c r="K9" s="832">
        <f>IF(I9=0,0,100*F9/I9)</f>
        <v>13.840692907411077</v>
      </c>
      <c r="L9" s="77">
        <f>IF(J9=0,0,100*F9/J9)</f>
        <v>4.6502061876511194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B7C2499-9576-4A59-A929-0A9626FEB182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C89EC99F-9986-4EEB-AB3A-E85690C7C05E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672</v>
      </c>
      <c r="C3" t="s">
        <v>654</v>
      </c>
    </row>
    <row r="5" spans="2:12" ht="15" customHeight="1" x14ac:dyDescent="0.2">
      <c r="B5" s="1157" t="s">
        <v>380</v>
      </c>
      <c r="C5" s="1141" t="s">
        <v>655</v>
      </c>
      <c r="D5" s="1141"/>
      <c r="E5" s="1141"/>
      <c r="F5" s="1133"/>
      <c r="G5" s="25"/>
      <c r="H5" s="1157" t="s">
        <v>380</v>
      </c>
      <c r="I5" s="1021" t="s">
        <v>988</v>
      </c>
      <c r="J5" s="1089"/>
      <c r="K5" s="1089"/>
      <c r="L5" s="1018"/>
    </row>
    <row r="6" spans="2:12" ht="60" customHeight="1" x14ac:dyDescent="0.2">
      <c r="B6" s="1155"/>
      <c r="C6" s="13" t="s">
        <v>78</v>
      </c>
      <c r="D6" s="1162" t="s">
        <v>79</v>
      </c>
      <c r="E6" s="1162"/>
      <c r="F6" s="30" t="s">
        <v>275</v>
      </c>
      <c r="G6" s="25"/>
      <c r="H6" s="1155"/>
      <c r="I6" s="33" t="s">
        <v>669</v>
      </c>
      <c r="J6" s="34" t="s">
        <v>277</v>
      </c>
      <c r="K6" s="34" t="s">
        <v>670</v>
      </c>
      <c r="L6" s="35" t="s">
        <v>651</v>
      </c>
    </row>
    <row r="7" spans="2:12" ht="45" customHeight="1" x14ac:dyDescent="0.2">
      <c r="B7" s="1155"/>
      <c r="C7" s="31" t="s">
        <v>285</v>
      </c>
      <c r="D7" s="31" t="s">
        <v>285</v>
      </c>
      <c r="E7" s="12" t="s">
        <v>82</v>
      </c>
      <c r="F7" s="32" t="s">
        <v>285</v>
      </c>
      <c r="G7" s="25"/>
      <c r="H7" s="1155"/>
      <c r="I7" s="354" t="s">
        <v>285</v>
      </c>
      <c r="J7" s="36" t="s">
        <v>285</v>
      </c>
      <c r="K7" s="355" t="s">
        <v>280</v>
      </c>
      <c r="L7" s="356" t="s">
        <v>280</v>
      </c>
    </row>
    <row r="8" spans="2:12" ht="15" customHeight="1" x14ac:dyDescent="0.2">
      <c r="B8" s="192"/>
      <c r="C8" s="50"/>
      <c r="D8" s="50"/>
      <c r="E8" s="51"/>
      <c r="F8" s="52"/>
      <c r="G8" s="25"/>
      <c r="H8" s="192"/>
      <c r="I8" s="53"/>
      <c r="J8" s="54"/>
      <c r="K8" s="55"/>
      <c r="L8" s="56"/>
    </row>
    <row r="9" spans="2:12" ht="15" customHeight="1" x14ac:dyDescent="0.2">
      <c r="B9" s="28" t="str">
        <f>Index!$B$4</f>
        <v>England</v>
      </c>
      <c r="C9" s="67">
        <f>'Section 15 data'!$Q$8/1000</f>
        <v>10.839898999999999</v>
      </c>
      <c r="D9" s="67">
        <f>'Section 15 data'!$R$8/1000</f>
        <v>20.89181</v>
      </c>
      <c r="E9" s="929">
        <f>'Section 15 data'!$S$8</f>
        <v>5.8216449787865852</v>
      </c>
      <c r="F9" s="77">
        <f>SUM(C9,D9)</f>
        <v>31.731708999999999</v>
      </c>
      <c r="G9" s="833"/>
      <c r="H9" s="28" t="str">
        <f>Index!$B$4</f>
        <v>England</v>
      </c>
      <c r="I9" s="68">
        <f>'Section 15 data'!$U$6/1000</f>
        <v>305.20506699999999</v>
      </c>
      <c r="J9" s="43">
        <f>'Section 15 data'!$U$5/1000</f>
        <v>1347.4507200000003</v>
      </c>
      <c r="K9" s="43">
        <f>IF(I9=0,0,100*F9/I9)</f>
        <v>10.396848686656963</v>
      </c>
      <c r="L9" s="61">
        <f>IF(J9=0,0,100*F9/J9)</f>
        <v>2.3549439344245551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C455C86-73FE-44F8-8C81-C0022AC234BE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8D1E3A72-4467-4890-A0FF-73C8D1E8DEAC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AJ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24" width="12.625" customWidth="1"/>
    <col min="25" max="25" width="8.75" customWidth="1"/>
    <col min="26" max="36" width="12.625" customWidth="1"/>
  </cols>
  <sheetData>
    <row r="3" spans="2:13" ht="15" customHeight="1" x14ac:dyDescent="0.2">
      <c r="B3" s="1015" t="s">
        <v>105</v>
      </c>
      <c r="C3" s="733" t="s">
        <v>332</v>
      </c>
      <c r="D3" s="733" t="s">
        <v>222</v>
      </c>
      <c r="E3" s="733" t="s">
        <v>225</v>
      </c>
      <c r="F3" s="733" t="s">
        <v>226</v>
      </c>
      <c r="G3" s="733" t="s">
        <v>227</v>
      </c>
      <c r="H3" s="733" t="s">
        <v>228</v>
      </c>
      <c r="I3" s="733" t="s">
        <v>333</v>
      </c>
      <c r="J3" s="733" t="s">
        <v>334</v>
      </c>
      <c r="K3" s="733" t="s">
        <v>231</v>
      </c>
      <c r="L3" s="733" t="s">
        <v>232</v>
      </c>
      <c r="M3" s="733" t="s">
        <v>233</v>
      </c>
    </row>
    <row r="4" spans="2:13" ht="15" customHeight="1" x14ac:dyDescent="0.2">
      <c r="B4" s="1016"/>
      <c r="C4" s="732" t="s">
        <v>78</v>
      </c>
      <c r="D4" s="732" t="s">
        <v>78</v>
      </c>
      <c r="E4" s="732" t="s">
        <v>78</v>
      </c>
      <c r="F4" s="732" t="s">
        <v>78</v>
      </c>
      <c r="G4" s="732" t="s">
        <v>78</v>
      </c>
      <c r="H4" s="732" t="s">
        <v>78</v>
      </c>
      <c r="I4" s="732" t="s">
        <v>78</v>
      </c>
      <c r="J4" s="732" t="s">
        <v>78</v>
      </c>
      <c r="K4" s="732" t="s">
        <v>78</v>
      </c>
      <c r="L4" s="732" t="s">
        <v>78</v>
      </c>
      <c r="M4" s="734" t="s">
        <v>78</v>
      </c>
    </row>
    <row r="5" spans="2:13" ht="30" customHeight="1" thickBot="1" x14ac:dyDescent="0.25">
      <c r="B5" s="1017"/>
      <c r="C5" s="735" t="s">
        <v>326</v>
      </c>
      <c r="D5" s="735" t="s">
        <v>326</v>
      </c>
      <c r="E5" s="735" t="s">
        <v>326</v>
      </c>
      <c r="F5" s="735" t="s">
        <v>326</v>
      </c>
      <c r="G5" s="735" t="s">
        <v>326</v>
      </c>
      <c r="H5" s="735" t="s">
        <v>326</v>
      </c>
      <c r="I5" s="735" t="s">
        <v>326</v>
      </c>
      <c r="J5" s="735" t="s">
        <v>326</v>
      </c>
      <c r="K5" s="735" t="s">
        <v>326</v>
      </c>
      <c r="L5" s="735" t="s">
        <v>326</v>
      </c>
      <c r="M5" s="735" t="s">
        <v>326</v>
      </c>
    </row>
    <row r="6" spans="2:13" ht="15" customHeight="1" x14ac:dyDescent="0.2">
      <c r="B6" s="736" t="s">
        <v>721</v>
      </c>
      <c r="C6" s="737">
        <v>71.779000000000011</v>
      </c>
      <c r="D6" s="737">
        <v>46.368000000000002</v>
      </c>
      <c r="E6" s="737">
        <v>78.750999999999991</v>
      </c>
      <c r="F6" s="737">
        <v>74.778000000000006</v>
      </c>
      <c r="G6" s="737">
        <v>89.126000000000005</v>
      </c>
      <c r="H6" s="737">
        <v>139.09399999999999</v>
      </c>
      <c r="I6" s="737">
        <v>193.01599999999999</v>
      </c>
      <c r="J6" s="737">
        <v>127.23299999999998</v>
      </c>
      <c r="K6" s="737">
        <v>133.34199999999998</v>
      </c>
      <c r="L6" s="737">
        <v>161.45600000000002</v>
      </c>
      <c r="M6" s="738">
        <v>156.49700000000001</v>
      </c>
    </row>
    <row r="7" spans="2:13" ht="15" customHeight="1" x14ac:dyDescent="0.2">
      <c r="B7" s="739" t="s">
        <v>286</v>
      </c>
      <c r="C7" s="740">
        <v>0.20200000000000001</v>
      </c>
      <c r="D7" s="740">
        <v>0.30599999999999999</v>
      </c>
      <c r="E7" s="740">
        <v>0.27700000000000002</v>
      </c>
      <c r="F7" s="740">
        <v>0.17199999999999999</v>
      </c>
      <c r="G7" s="740">
        <v>0.44</v>
      </c>
      <c r="H7" s="740">
        <v>0.89700000000000002</v>
      </c>
      <c r="I7" s="740">
        <v>7.2649999999999997</v>
      </c>
      <c r="J7" s="740">
        <v>1.4870000000000001</v>
      </c>
      <c r="K7" s="740">
        <v>2.597</v>
      </c>
      <c r="L7" s="740">
        <v>2.7480000000000002</v>
      </c>
      <c r="M7" s="741">
        <v>2.488</v>
      </c>
    </row>
    <row r="8" spans="2:13" ht="15" customHeight="1" x14ac:dyDescent="0.2">
      <c r="B8" s="739" t="s">
        <v>307</v>
      </c>
      <c r="C8" s="740">
        <v>1.1779999999999999</v>
      </c>
      <c r="D8" s="740">
        <v>1.0680000000000001</v>
      </c>
      <c r="E8" s="740">
        <v>2.0339999999999998</v>
      </c>
      <c r="F8" s="740">
        <v>1.58</v>
      </c>
      <c r="G8" s="740">
        <v>3.5289999999999999</v>
      </c>
      <c r="H8" s="740">
        <v>3.3650000000000002</v>
      </c>
      <c r="I8" s="740">
        <v>3.62</v>
      </c>
      <c r="J8" s="740">
        <v>3.8079999999999998</v>
      </c>
      <c r="K8" s="740">
        <v>3.7189999999999999</v>
      </c>
      <c r="L8" s="740">
        <v>6.8019999999999996</v>
      </c>
      <c r="M8" s="741">
        <v>12.641999999999999</v>
      </c>
    </row>
    <row r="9" spans="2:13" ht="15" customHeight="1" x14ac:dyDescent="0.2">
      <c r="B9" s="739" t="s">
        <v>287</v>
      </c>
      <c r="C9" s="740">
        <v>2.6280000000000001</v>
      </c>
      <c r="D9" s="740">
        <v>4.3579999999999997</v>
      </c>
      <c r="E9" s="740">
        <v>2.0299999999999998</v>
      </c>
      <c r="F9" s="740">
        <v>5.0279999999999996</v>
      </c>
      <c r="G9" s="740">
        <v>2.6469999999999998</v>
      </c>
      <c r="H9" s="740">
        <v>6.2110000000000003</v>
      </c>
      <c r="I9" s="740">
        <v>5.2809999999999997</v>
      </c>
      <c r="J9" s="740">
        <v>8.4190000000000005</v>
      </c>
      <c r="K9" s="740">
        <v>5.8070000000000004</v>
      </c>
      <c r="L9" s="740">
        <v>10.347</v>
      </c>
      <c r="M9" s="741">
        <v>6.1660000000000004</v>
      </c>
    </row>
    <row r="10" spans="2:13" ht="15" customHeight="1" x14ac:dyDescent="0.2">
      <c r="B10" s="739" t="s">
        <v>288</v>
      </c>
      <c r="C10" s="740">
        <v>0.95499999999999996</v>
      </c>
      <c r="D10" s="740">
        <v>2.7959999999999998</v>
      </c>
      <c r="E10" s="740">
        <v>1.861</v>
      </c>
      <c r="F10" s="740">
        <v>4.6989999999999998</v>
      </c>
      <c r="G10" s="740">
        <v>5.8689999999999998</v>
      </c>
      <c r="H10" s="740">
        <v>4.4809999999999999</v>
      </c>
      <c r="I10" s="740">
        <v>8.7420000000000009</v>
      </c>
      <c r="J10" s="740">
        <v>4.8159999999999998</v>
      </c>
      <c r="K10" s="740">
        <v>8.8049999999999997</v>
      </c>
      <c r="L10" s="740">
        <v>5.0659999999999998</v>
      </c>
      <c r="M10" s="741">
        <v>5.4279999999999999</v>
      </c>
    </row>
    <row r="11" spans="2:13" ht="15" customHeight="1" x14ac:dyDescent="0.2">
      <c r="B11" s="739" t="s">
        <v>305</v>
      </c>
      <c r="C11" s="740">
        <v>0.19800000000000001</v>
      </c>
      <c r="D11" s="740">
        <v>0.28799999999999998</v>
      </c>
      <c r="E11" s="740">
        <v>0.24199999999999999</v>
      </c>
      <c r="F11" s="740">
        <v>0.29399999999999998</v>
      </c>
      <c r="G11" s="740">
        <v>0.61699999999999999</v>
      </c>
      <c r="H11" s="740">
        <v>0.627</v>
      </c>
      <c r="I11" s="740">
        <v>0.51800000000000002</v>
      </c>
      <c r="J11" s="740">
        <v>0.32500000000000001</v>
      </c>
      <c r="K11" s="740">
        <v>1.038</v>
      </c>
      <c r="L11" s="740">
        <v>0.17499999999999999</v>
      </c>
      <c r="M11" s="741">
        <v>0.35399999999999998</v>
      </c>
    </row>
    <row r="12" spans="2:13" ht="15" customHeight="1" x14ac:dyDescent="0.2">
      <c r="B12" s="739" t="s">
        <v>289</v>
      </c>
      <c r="C12" s="740">
        <v>0.13</v>
      </c>
      <c r="D12" s="740">
        <v>0.06</v>
      </c>
      <c r="E12" s="740">
        <v>0.129</v>
      </c>
      <c r="F12" s="740">
        <v>0.17799999999999999</v>
      </c>
      <c r="G12" s="740">
        <v>0.16500000000000001</v>
      </c>
      <c r="H12" s="740">
        <v>9.8689999999999998</v>
      </c>
      <c r="I12" s="740">
        <v>0.40400000000000003</v>
      </c>
      <c r="J12" s="740">
        <v>0.28499999999999998</v>
      </c>
      <c r="K12" s="740">
        <v>0.73499999999999999</v>
      </c>
      <c r="L12" s="740">
        <v>0.68899999999999995</v>
      </c>
      <c r="M12" s="741">
        <v>0.84</v>
      </c>
    </row>
    <row r="13" spans="2:13" ht="15" customHeight="1" x14ac:dyDescent="0.2">
      <c r="B13" s="739" t="s">
        <v>306</v>
      </c>
      <c r="C13" s="740">
        <v>0.82199999999999995</v>
      </c>
      <c r="D13" s="740">
        <v>1.175</v>
      </c>
      <c r="E13" s="740">
        <v>1.6879999999999999</v>
      </c>
      <c r="F13" s="740">
        <v>6.3440000000000003</v>
      </c>
      <c r="G13" s="740">
        <v>3.371</v>
      </c>
      <c r="H13" s="740">
        <v>6.585</v>
      </c>
      <c r="I13" s="740">
        <v>5.7949999999999999</v>
      </c>
      <c r="J13" s="740">
        <v>7.8540000000000001</v>
      </c>
      <c r="K13" s="740">
        <v>4.4390000000000001</v>
      </c>
      <c r="L13" s="740">
        <v>17.875</v>
      </c>
      <c r="M13" s="741">
        <v>4.6109999999999998</v>
      </c>
    </row>
    <row r="14" spans="2:13" ht="15" customHeight="1" x14ac:dyDescent="0.2">
      <c r="B14" s="739" t="s">
        <v>290</v>
      </c>
      <c r="C14" s="740">
        <v>1.175</v>
      </c>
      <c r="D14" s="740">
        <v>1.6879999999999999</v>
      </c>
      <c r="E14" s="740">
        <v>6.3440000000000003</v>
      </c>
      <c r="F14" s="740">
        <v>3.371</v>
      </c>
      <c r="G14" s="740">
        <v>6.585</v>
      </c>
      <c r="H14" s="740">
        <v>5.7949999999999999</v>
      </c>
      <c r="I14" s="740">
        <v>7.8540000000000001</v>
      </c>
      <c r="J14" s="740">
        <v>4.4390000000000001</v>
      </c>
      <c r="K14" s="740">
        <v>17.875</v>
      </c>
      <c r="L14" s="740">
        <v>4.6109999999999998</v>
      </c>
      <c r="M14" s="741">
        <v>12.366</v>
      </c>
    </row>
    <row r="15" spans="2:13" ht="15" customHeight="1" x14ac:dyDescent="0.2">
      <c r="B15" s="739" t="s">
        <v>291</v>
      </c>
      <c r="C15" s="740">
        <v>10.935</v>
      </c>
      <c r="D15" s="740">
        <v>4.5830000000000002</v>
      </c>
      <c r="E15" s="740">
        <v>11.222</v>
      </c>
      <c r="F15" s="740">
        <v>8.0039999999999996</v>
      </c>
      <c r="G15" s="740">
        <v>12.305</v>
      </c>
      <c r="H15" s="740">
        <v>9.9849999999999994</v>
      </c>
      <c r="I15" s="740">
        <v>34.292000000000002</v>
      </c>
      <c r="J15" s="740">
        <v>13.627000000000001</v>
      </c>
      <c r="K15" s="740">
        <v>15.933</v>
      </c>
      <c r="L15" s="740">
        <v>16.239000000000001</v>
      </c>
      <c r="M15" s="741">
        <v>22.648</v>
      </c>
    </row>
    <row r="16" spans="2:13" ht="15" customHeight="1" x14ac:dyDescent="0.2">
      <c r="B16" s="739" t="s">
        <v>292</v>
      </c>
      <c r="C16" s="740">
        <v>7.4480000000000004</v>
      </c>
      <c r="D16" s="740">
        <v>4.7160000000000002</v>
      </c>
      <c r="E16" s="740">
        <v>8.7769999999999992</v>
      </c>
      <c r="F16" s="740">
        <v>15.696</v>
      </c>
      <c r="G16" s="740">
        <v>17.774999999999999</v>
      </c>
      <c r="H16" s="740">
        <v>46.031999999999996</v>
      </c>
      <c r="I16" s="740">
        <v>43.795000000000002</v>
      </c>
      <c r="J16" s="740">
        <v>33.500999999999998</v>
      </c>
      <c r="K16" s="740">
        <v>27.170999999999999</v>
      </c>
      <c r="L16" s="740">
        <v>43.365000000000002</v>
      </c>
      <c r="M16" s="741">
        <v>30.393999999999998</v>
      </c>
    </row>
    <row r="17" spans="2:36" ht="15" customHeight="1" x14ac:dyDescent="0.2">
      <c r="B17" s="739" t="s">
        <v>293</v>
      </c>
      <c r="C17" s="740">
        <v>0.53100000000000003</v>
      </c>
      <c r="D17" s="740">
        <v>0.35399999999999998</v>
      </c>
      <c r="E17" s="740">
        <v>0.51900000000000002</v>
      </c>
      <c r="F17" s="740">
        <v>0.58699999999999997</v>
      </c>
      <c r="G17" s="740">
        <v>1.6679999999999999</v>
      </c>
      <c r="H17" s="740">
        <v>16.125</v>
      </c>
      <c r="I17" s="740">
        <v>6.2009999999999996</v>
      </c>
      <c r="J17" s="740">
        <v>1.621</v>
      </c>
      <c r="K17" s="740">
        <v>5.1280000000000001</v>
      </c>
      <c r="L17" s="740">
        <v>2.6720000000000002</v>
      </c>
      <c r="M17" s="741">
        <v>6.3620000000000001</v>
      </c>
    </row>
    <row r="18" spans="2:36" ht="15" customHeight="1" x14ac:dyDescent="0.2">
      <c r="B18" s="739" t="s">
        <v>294</v>
      </c>
      <c r="C18" s="740">
        <v>19.036000000000001</v>
      </c>
      <c r="D18" s="740">
        <v>5.9370000000000003</v>
      </c>
      <c r="E18" s="740">
        <v>15.96</v>
      </c>
      <c r="F18" s="740">
        <v>8.5139999999999993</v>
      </c>
      <c r="G18" s="740">
        <v>18.622</v>
      </c>
      <c r="H18" s="740">
        <v>10.87</v>
      </c>
      <c r="I18" s="740">
        <v>23.564</v>
      </c>
      <c r="J18" s="740">
        <v>15.847</v>
      </c>
      <c r="K18" s="740">
        <v>19.018000000000001</v>
      </c>
      <c r="L18" s="740">
        <v>12.138</v>
      </c>
      <c r="M18" s="741">
        <v>22.643000000000001</v>
      </c>
    </row>
    <row r="19" spans="2:36" ht="15" customHeight="1" x14ac:dyDescent="0.2">
      <c r="B19" s="739" t="s">
        <v>295</v>
      </c>
      <c r="C19" s="740">
        <v>23.013000000000002</v>
      </c>
      <c r="D19" s="740">
        <v>15.759</v>
      </c>
      <c r="E19" s="740">
        <v>29.61</v>
      </c>
      <c r="F19" s="740">
        <v>18.113</v>
      </c>
      <c r="G19" s="740">
        <v>18.414000000000001</v>
      </c>
      <c r="H19" s="740">
        <v>18.056999999999999</v>
      </c>
      <c r="I19" s="740">
        <v>45.112000000000002</v>
      </c>
      <c r="J19" s="740">
        <v>28.303999999999998</v>
      </c>
      <c r="K19" s="740">
        <v>28.565999999999999</v>
      </c>
      <c r="L19" s="740">
        <v>29.603000000000002</v>
      </c>
      <c r="M19" s="741">
        <v>36.796999999999997</v>
      </c>
    </row>
    <row r="20" spans="2:36" ht="15" customHeight="1" thickBot="1" x14ac:dyDescent="0.25">
      <c r="B20" s="742" t="s">
        <v>296</v>
      </c>
      <c r="C20" s="743">
        <v>3.4529999999999998</v>
      </c>
      <c r="D20" s="743">
        <v>3.085</v>
      </c>
      <c r="E20" s="743">
        <v>4.0259999999999998</v>
      </c>
      <c r="F20" s="743">
        <v>2.492</v>
      </c>
      <c r="G20" s="743">
        <v>4.0460000000000003</v>
      </c>
      <c r="H20" s="743">
        <v>3.82</v>
      </c>
      <c r="I20" s="743">
        <v>4.96</v>
      </c>
      <c r="J20" s="743">
        <v>4.1829999999999998</v>
      </c>
      <c r="K20" s="743">
        <v>5.048</v>
      </c>
      <c r="L20" s="743">
        <v>8.9589999999999996</v>
      </c>
      <c r="M20" s="744">
        <v>5.1870000000000003</v>
      </c>
    </row>
    <row r="23" spans="2:36" ht="15" customHeight="1" x14ac:dyDescent="0.2">
      <c r="B23" s="1015" t="s">
        <v>105</v>
      </c>
      <c r="C23" s="1018" t="s">
        <v>332</v>
      </c>
      <c r="D23" s="1021"/>
      <c r="E23" s="1018" t="s">
        <v>222</v>
      </c>
      <c r="F23" s="1021"/>
      <c r="G23" s="1018" t="s">
        <v>225</v>
      </c>
      <c r="H23" s="1021"/>
      <c r="I23" s="1018" t="s">
        <v>226</v>
      </c>
      <c r="J23" s="1021"/>
      <c r="K23" s="1018" t="s">
        <v>227</v>
      </c>
      <c r="L23" s="1021"/>
      <c r="M23" s="1018" t="s">
        <v>228</v>
      </c>
      <c r="N23" s="1021"/>
      <c r="O23" s="1018" t="s">
        <v>333</v>
      </c>
      <c r="P23" s="1021"/>
      <c r="Q23" s="1018" t="s">
        <v>334</v>
      </c>
      <c r="R23" s="1021"/>
      <c r="S23" s="1018" t="s">
        <v>231</v>
      </c>
      <c r="T23" s="1021"/>
      <c r="U23" s="1018" t="s">
        <v>232</v>
      </c>
      <c r="V23" s="1021"/>
      <c r="W23" s="1018" t="s">
        <v>233</v>
      </c>
      <c r="X23" s="1019"/>
      <c r="Z23" s="745" t="s">
        <v>332</v>
      </c>
      <c r="AA23" s="733" t="s">
        <v>222</v>
      </c>
      <c r="AB23" s="733" t="s">
        <v>225</v>
      </c>
      <c r="AC23" s="733" t="s">
        <v>226</v>
      </c>
      <c r="AD23" s="733" t="s">
        <v>227</v>
      </c>
      <c r="AE23" s="733" t="s">
        <v>228</v>
      </c>
      <c r="AF23" s="733" t="s">
        <v>333</v>
      </c>
      <c r="AG23" s="733" t="s">
        <v>334</v>
      </c>
      <c r="AH23" s="733" t="s">
        <v>231</v>
      </c>
      <c r="AI23" s="733" t="s">
        <v>232</v>
      </c>
      <c r="AJ23" s="733" t="s">
        <v>233</v>
      </c>
    </row>
    <row r="24" spans="2:36" ht="15" customHeight="1" x14ac:dyDescent="0.2">
      <c r="B24" s="1016"/>
      <c r="C24" s="1013" t="s">
        <v>79</v>
      </c>
      <c r="D24" s="1020"/>
      <c r="E24" s="1013" t="s">
        <v>79</v>
      </c>
      <c r="F24" s="1020"/>
      <c r="G24" s="1013" t="s">
        <v>79</v>
      </c>
      <c r="H24" s="1020"/>
      <c r="I24" s="1013" t="s">
        <v>79</v>
      </c>
      <c r="J24" s="1020"/>
      <c r="K24" s="1013" t="s">
        <v>79</v>
      </c>
      <c r="L24" s="1020"/>
      <c r="M24" s="1013" t="s">
        <v>79</v>
      </c>
      <c r="N24" s="1020"/>
      <c r="O24" s="1013" t="s">
        <v>79</v>
      </c>
      <c r="P24" s="1020"/>
      <c r="Q24" s="1013" t="s">
        <v>79</v>
      </c>
      <c r="R24" s="1020"/>
      <c r="S24" s="1013" t="s">
        <v>79</v>
      </c>
      <c r="T24" s="1020"/>
      <c r="U24" s="1013" t="s">
        <v>79</v>
      </c>
      <c r="V24" s="1020"/>
      <c r="W24" s="1013" t="s">
        <v>79</v>
      </c>
      <c r="X24" s="1014"/>
      <c r="Z24" s="745"/>
      <c r="AA24" s="733"/>
      <c r="AB24" s="733"/>
      <c r="AC24" s="733"/>
      <c r="AD24" s="733"/>
      <c r="AE24" s="733"/>
      <c r="AF24" s="733"/>
      <c r="AG24" s="733"/>
      <c r="AH24" s="733"/>
      <c r="AI24" s="733"/>
      <c r="AJ24" s="733"/>
    </row>
    <row r="25" spans="2:36" ht="30" customHeight="1" thickBot="1" x14ac:dyDescent="0.25">
      <c r="B25" s="1017"/>
      <c r="C25" s="746"/>
      <c r="D25" s="747" t="s">
        <v>82</v>
      </c>
      <c r="E25" s="746"/>
      <c r="F25" s="748" t="s">
        <v>82</v>
      </c>
      <c r="G25" s="746"/>
      <c r="H25" s="748" t="s">
        <v>82</v>
      </c>
      <c r="I25" s="746"/>
      <c r="J25" s="748" t="s">
        <v>82</v>
      </c>
      <c r="K25" s="746"/>
      <c r="L25" s="748" t="s">
        <v>82</v>
      </c>
      <c r="M25" s="746"/>
      <c r="N25" s="748" t="s">
        <v>82</v>
      </c>
      <c r="O25" s="746"/>
      <c r="P25" s="748" t="s">
        <v>82</v>
      </c>
      <c r="Q25" s="746"/>
      <c r="R25" s="748" t="s">
        <v>82</v>
      </c>
      <c r="S25" s="746"/>
      <c r="T25" s="748" t="s">
        <v>82</v>
      </c>
      <c r="U25" s="746"/>
      <c r="V25" s="748" t="s">
        <v>82</v>
      </c>
      <c r="W25" s="749"/>
      <c r="X25" s="747" t="s">
        <v>82</v>
      </c>
      <c r="Z25" s="656" t="s">
        <v>310</v>
      </c>
      <c r="AA25" s="657" t="s">
        <v>310</v>
      </c>
      <c r="AB25" s="657" t="s">
        <v>310</v>
      </c>
      <c r="AC25" s="657" t="s">
        <v>310</v>
      </c>
      <c r="AD25" s="657" t="s">
        <v>310</v>
      </c>
      <c r="AE25" s="657" t="s">
        <v>310</v>
      </c>
      <c r="AF25" s="657" t="s">
        <v>310</v>
      </c>
      <c r="AG25" s="657" t="s">
        <v>310</v>
      </c>
      <c r="AH25" s="657" t="s">
        <v>310</v>
      </c>
      <c r="AI25" s="657" t="s">
        <v>310</v>
      </c>
      <c r="AJ25" s="657" t="s">
        <v>310</v>
      </c>
    </row>
    <row r="26" spans="2:36" ht="15" customHeight="1" x14ac:dyDescent="0.2">
      <c r="B26" s="736" t="s">
        <v>721</v>
      </c>
      <c r="C26" s="737">
        <v>2957.9369999999999</v>
      </c>
      <c r="D26" s="750">
        <v>4.9175326735365372</v>
      </c>
      <c r="E26" s="737">
        <v>3264.904</v>
      </c>
      <c r="F26" s="750">
        <v>4.7723267050589984</v>
      </c>
      <c r="G26" s="737">
        <v>2956.4490000000001</v>
      </c>
      <c r="H26" s="750">
        <v>5.0877422572868625</v>
      </c>
      <c r="I26" s="737">
        <v>3052.6990000000001</v>
      </c>
      <c r="J26" s="750">
        <v>5.1812754658331821</v>
      </c>
      <c r="K26" s="737">
        <v>2910.4050000000002</v>
      </c>
      <c r="L26" s="750">
        <v>5.8810833804531484</v>
      </c>
      <c r="M26" s="737">
        <v>2272.7440000000001</v>
      </c>
      <c r="N26" s="750">
        <v>6.3794291254089313</v>
      </c>
      <c r="O26" s="737">
        <v>1864.1179999999999</v>
      </c>
      <c r="P26" s="750">
        <v>6.0087275633713189</v>
      </c>
      <c r="Q26" s="737">
        <v>1537.9449999999999</v>
      </c>
      <c r="R26" s="750">
        <v>5.3753890135659841</v>
      </c>
      <c r="S26" s="737">
        <v>1437.366</v>
      </c>
      <c r="T26" s="750">
        <v>5.6549002041536838</v>
      </c>
      <c r="U26" s="737">
        <v>1622.8710000000001</v>
      </c>
      <c r="V26" s="750">
        <v>5.9226321723649189</v>
      </c>
      <c r="W26" s="737">
        <v>1370.6420000000001</v>
      </c>
      <c r="X26" s="751">
        <v>5.9733356391400863</v>
      </c>
      <c r="Z26" s="665">
        <f>C26*D26/100</f>
        <v>145.45751843762645</v>
      </c>
      <c r="AA26" s="472">
        <f>E26*F26/100</f>
        <v>155.81188548653944</v>
      </c>
      <c r="AB26" s="472">
        <f>G26*H26/100</f>
        <v>150.41650508813487</v>
      </c>
      <c r="AC26" s="472">
        <f>I26*J26/100</f>
        <v>158.16874433273489</v>
      </c>
      <c r="AD26" s="472">
        <f>K26*L26/100</f>
        <v>171.16334475887746</v>
      </c>
      <c r="AE26" s="472">
        <f>M26*N26/100</f>
        <v>144.98809268198397</v>
      </c>
      <c r="AF26" s="472">
        <f>O26*P26/100</f>
        <v>112.00977207976615</v>
      </c>
      <c r="AG26" s="472">
        <f>Q26*R26/100</f>
        <v>82.670526564687364</v>
      </c>
      <c r="AH26" s="472">
        <f>S26*T26/100</f>
        <v>81.281612868435644</v>
      </c>
      <c r="AI26" s="472">
        <f>U26*V26/100</f>
        <v>96.116679961980282</v>
      </c>
      <c r="AJ26" s="666">
        <f>W26*X26/100</f>
        <v>81.873047071022469</v>
      </c>
    </row>
    <row r="27" spans="2:36" ht="15" customHeight="1" x14ac:dyDescent="0.2">
      <c r="B27" s="739" t="s">
        <v>286</v>
      </c>
      <c r="C27" s="740">
        <v>153.881</v>
      </c>
      <c r="D27" s="752">
        <v>16.690000000000001</v>
      </c>
      <c r="E27" s="740">
        <v>167.83799999999999</v>
      </c>
      <c r="F27" s="752">
        <v>16.510000000000002</v>
      </c>
      <c r="G27" s="740">
        <v>61.006</v>
      </c>
      <c r="H27" s="752">
        <v>24.92</v>
      </c>
      <c r="I27" s="740">
        <v>94.503</v>
      </c>
      <c r="J27" s="752">
        <v>31.67</v>
      </c>
      <c r="K27" s="740">
        <v>41.994</v>
      </c>
      <c r="L27" s="752">
        <v>25.46</v>
      </c>
      <c r="M27" s="740">
        <v>46.180999999999997</v>
      </c>
      <c r="N27" s="752">
        <v>15.12</v>
      </c>
      <c r="O27" s="740">
        <v>67.045000000000002</v>
      </c>
      <c r="P27" s="752">
        <v>26.03</v>
      </c>
      <c r="Q27" s="740">
        <v>102.124</v>
      </c>
      <c r="R27" s="752">
        <v>42.15</v>
      </c>
      <c r="S27" s="740">
        <v>53.963000000000001</v>
      </c>
      <c r="T27" s="752">
        <v>13.71</v>
      </c>
      <c r="U27" s="740">
        <v>61.670999999999999</v>
      </c>
      <c r="V27" s="752">
        <v>14.9</v>
      </c>
      <c r="W27" s="740">
        <v>67.144999999999996</v>
      </c>
      <c r="X27" s="753">
        <v>11.24</v>
      </c>
      <c r="Z27" s="665">
        <f t="shared" ref="Z27:Z40" si="0">C27*D27/100</f>
        <v>25.682738900000004</v>
      </c>
      <c r="AA27" s="472">
        <f t="shared" ref="AA27:AA40" si="1">E27*F27/100</f>
        <v>27.710053800000001</v>
      </c>
      <c r="AB27" s="472">
        <f t="shared" ref="AB27:AB40" si="2">G27*H27/100</f>
        <v>15.202695200000001</v>
      </c>
      <c r="AC27" s="472">
        <f t="shared" ref="AC27:AC40" si="3">I27*J27/100</f>
        <v>29.929100099999999</v>
      </c>
      <c r="AD27" s="472">
        <f t="shared" ref="AD27:AD40" si="4">K27*L27/100</f>
        <v>10.6916724</v>
      </c>
      <c r="AE27" s="472">
        <f t="shared" ref="AE27:AE40" si="5">M27*N27/100</f>
        <v>6.9825672000000001</v>
      </c>
      <c r="AF27" s="472">
        <f t="shared" ref="AF27:AF40" si="6">O27*P27/100</f>
        <v>17.4518135</v>
      </c>
      <c r="AG27" s="472">
        <f t="shared" ref="AG27:AG40" si="7">Q27*R27/100</f>
        <v>43.045265999999991</v>
      </c>
      <c r="AH27" s="472">
        <f t="shared" ref="AH27:AH40" si="8">S27*T27/100</f>
        <v>7.3983273000000009</v>
      </c>
      <c r="AI27" s="472">
        <f t="shared" ref="AI27:AI40" si="9">U27*V27/100</f>
        <v>9.1889789999999998</v>
      </c>
      <c r="AJ27" s="666">
        <f t="shared" ref="AJ27:AJ40" si="10">W27*X27/100</f>
        <v>7.5470980000000001</v>
      </c>
    </row>
    <row r="28" spans="2:36" ht="15" customHeight="1" x14ac:dyDescent="0.2">
      <c r="B28" s="739" t="s">
        <v>307</v>
      </c>
      <c r="C28" s="740">
        <v>76.659000000000006</v>
      </c>
      <c r="D28" s="752">
        <v>23.21</v>
      </c>
      <c r="E28" s="740">
        <v>71.724999999999994</v>
      </c>
      <c r="F28" s="752">
        <v>17.27</v>
      </c>
      <c r="G28" s="740">
        <v>17.383749999999999</v>
      </c>
      <c r="H28" s="752">
        <v>23.72</v>
      </c>
      <c r="I28" s="740">
        <v>54.444000000000003</v>
      </c>
      <c r="J28" s="752">
        <v>17.68</v>
      </c>
      <c r="K28" s="740">
        <v>54.802999999999997</v>
      </c>
      <c r="L28" s="752">
        <v>19.87</v>
      </c>
      <c r="M28" s="740">
        <v>81.849999999999994</v>
      </c>
      <c r="N28" s="752">
        <v>33.380000000000003</v>
      </c>
      <c r="O28" s="740">
        <v>90.275000000000006</v>
      </c>
      <c r="P28" s="752">
        <v>17.09</v>
      </c>
      <c r="Q28" s="740">
        <v>61.390999999999998</v>
      </c>
      <c r="R28" s="752">
        <v>14.14</v>
      </c>
      <c r="S28" s="740">
        <v>59.960999999999999</v>
      </c>
      <c r="T28" s="752">
        <v>14.72</v>
      </c>
      <c r="U28" s="740">
        <v>66.349999999999994</v>
      </c>
      <c r="V28" s="752">
        <v>16.649999999999999</v>
      </c>
      <c r="W28" s="740">
        <v>81.378</v>
      </c>
      <c r="X28" s="753">
        <v>20.61</v>
      </c>
      <c r="Z28" s="665">
        <f t="shared" si="0"/>
        <v>17.792553900000001</v>
      </c>
      <c r="AA28" s="472">
        <f t="shared" si="1"/>
        <v>12.3869075</v>
      </c>
      <c r="AB28" s="472">
        <f t="shared" si="2"/>
        <v>4.1234254999999997</v>
      </c>
      <c r="AC28" s="472">
        <f t="shared" si="3"/>
        <v>9.6256991999999997</v>
      </c>
      <c r="AD28" s="472">
        <f t="shared" si="4"/>
        <v>10.889356100000001</v>
      </c>
      <c r="AE28" s="472">
        <f t="shared" si="5"/>
        <v>27.321529999999999</v>
      </c>
      <c r="AF28" s="472">
        <f t="shared" si="6"/>
        <v>15.427997500000002</v>
      </c>
      <c r="AG28" s="472">
        <f t="shared" si="7"/>
        <v>8.6806874000000001</v>
      </c>
      <c r="AH28" s="472">
        <f t="shared" si="8"/>
        <v>8.8262592000000009</v>
      </c>
      <c r="AI28" s="472">
        <f t="shared" si="9"/>
        <v>11.047274999999997</v>
      </c>
      <c r="AJ28" s="666">
        <f t="shared" si="10"/>
        <v>16.772005799999999</v>
      </c>
    </row>
    <row r="29" spans="2:36" ht="15" customHeight="1" x14ac:dyDescent="0.2">
      <c r="B29" s="739" t="s">
        <v>287</v>
      </c>
      <c r="C29" s="740">
        <v>149.923</v>
      </c>
      <c r="D29" s="752">
        <v>32.81</v>
      </c>
      <c r="E29" s="740">
        <v>114.81699999999999</v>
      </c>
      <c r="F29" s="752">
        <v>20.92</v>
      </c>
      <c r="G29" s="740">
        <v>95.477000000000004</v>
      </c>
      <c r="H29" s="752">
        <v>24.78</v>
      </c>
      <c r="I29" s="740">
        <v>44.831000000000003</v>
      </c>
      <c r="J29" s="752">
        <v>17.690000000000001</v>
      </c>
      <c r="K29" s="740">
        <v>109.093</v>
      </c>
      <c r="L29" s="752">
        <v>33.85</v>
      </c>
      <c r="M29" s="740">
        <v>62.363999999999997</v>
      </c>
      <c r="N29" s="752">
        <v>25.71</v>
      </c>
      <c r="O29" s="740">
        <v>71.593000000000004</v>
      </c>
      <c r="P29" s="752">
        <v>14.18</v>
      </c>
      <c r="Q29" s="740">
        <v>67.191999999999993</v>
      </c>
      <c r="R29" s="752">
        <v>21.39</v>
      </c>
      <c r="S29" s="740">
        <v>67.012</v>
      </c>
      <c r="T29" s="752">
        <v>16.64</v>
      </c>
      <c r="U29" s="740">
        <v>69.75</v>
      </c>
      <c r="V29" s="752">
        <v>17.55</v>
      </c>
      <c r="W29" s="740">
        <v>96.977999999999994</v>
      </c>
      <c r="X29" s="753">
        <v>16.850000000000001</v>
      </c>
      <c r="Z29" s="665">
        <f t="shared" si="0"/>
        <v>49.189736300000007</v>
      </c>
      <c r="AA29" s="472">
        <f t="shared" si="1"/>
        <v>24.019716400000004</v>
      </c>
      <c r="AB29" s="472">
        <f t="shared" si="2"/>
        <v>23.659200600000005</v>
      </c>
      <c r="AC29" s="472">
        <f t="shared" si="3"/>
        <v>7.9306039000000013</v>
      </c>
      <c r="AD29" s="472">
        <f t="shared" si="4"/>
        <v>36.927980500000004</v>
      </c>
      <c r="AE29" s="472">
        <f t="shared" si="5"/>
        <v>16.033784399999998</v>
      </c>
      <c r="AF29" s="472">
        <f t="shared" si="6"/>
        <v>10.1518874</v>
      </c>
      <c r="AG29" s="472">
        <f t="shared" si="7"/>
        <v>14.372368799999999</v>
      </c>
      <c r="AH29" s="472">
        <f t="shared" si="8"/>
        <v>11.1507968</v>
      </c>
      <c r="AI29" s="472">
        <f t="shared" si="9"/>
        <v>12.241125</v>
      </c>
      <c r="AJ29" s="666">
        <f t="shared" si="10"/>
        <v>16.340793000000001</v>
      </c>
    </row>
    <row r="30" spans="2:36" ht="15" customHeight="1" x14ac:dyDescent="0.2">
      <c r="B30" s="739" t="s">
        <v>288</v>
      </c>
      <c r="C30" s="740">
        <v>147.863</v>
      </c>
      <c r="D30" s="752">
        <v>29.3</v>
      </c>
      <c r="E30" s="740">
        <v>109.11799999999999</v>
      </c>
      <c r="F30" s="752">
        <v>20.6</v>
      </c>
      <c r="G30" s="740">
        <v>76.44</v>
      </c>
      <c r="H30" s="752">
        <v>29.69</v>
      </c>
      <c r="I30" s="740">
        <v>76.94</v>
      </c>
      <c r="J30" s="752">
        <v>32.71</v>
      </c>
      <c r="K30" s="740">
        <v>58.609000000000002</v>
      </c>
      <c r="L30" s="752">
        <v>34.270000000000003</v>
      </c>
      <c r="M30" s="740">
        <v>29.579000000000001</v>
      </c>
      <c r="N30" s="752">
        <v>16.7</v>
      </c>
      <c r="O30" s="740">
        <v>53.497999999999998</v>
      </c>
      <c r="P30" s="752">
        <v>16.13</v>
      </c>
      <c r="Q30" s="740">
        <v>66.314999999999998</v>
      </c>
      <c r="R30" s="752">
        <v>35.549999999999997</v>
      </c>
      <c r="S30" s="740">
        <v>46.466000000000001</v>
      </c>
      <c r="T30" s="752">
        <v>23.81</v>
      </c>
      <c r="U30" s="740">
        <v>58.829000000000001</v>
      </c>
      <c r="V30" s="752">
        <v>21.94</v>
      </c>
      <c r="W30" s="740">
        <v>63.308999999999997</v>
      </c>
      <c r="X30" s="753">
        <v>18.77</v>
      </c>
      <c r="Z30" s="665">
        <f t="shared" si="0"/>
        <v>43.323858999999999</v>
      </c>
      <c r="AA30" s="472">
        <f t="shared" si="1"/>
        <v>22.478308000000002</v>
      </c>
      <c r="AB30" s="472">
        <f t="shared" si="2"/>
        <v>22.695036000000002</v>
      </c>
      <c r="AC30" s="472">
        <f t="shared" si="3"/>
        <v>25.167074</v>
      </c>
      <c r="AD30" s="472">
        <f t="shared" si="4"/>
        <v>20.085304300000004</v>
      </c>
      <c r="AE30" s="472">
        <f t="shared" si="5"/>
        <v>4.9396930000000001</v>
      </c>
      <c r="AF30" s="472">
        <f t="shared" si="6"/>
        <v>8.6292273999999978</v>
      </c>
      <c r="AG30" s="472">
        <f t="shared" si="7"/>
        <v>23.574982499999997</v>
      </c>
      <c r="AH30" s="472">
        <f t="shared" si="8"/>
        <v>11.0635546</v>
      </c>
      <c r="AI30" s="472">
        <f t="shared" si="9"/>
        <v>12.907082600000001</v>
      </c>
      <c r="AJ30" s="666">
        <f t="shared" si="10"/>
        <v>11.8830993</v>
      </c>
    </row>
    <row r="31" spans="2:36" ht="15" customHeight="1" x14ac:dyDescent="0.2">
      <c r="B31" s="739" t="s">
        <v>305</v>
      </c>
      <c r="C31" s="740">
        <v>240.05</v>
      </c>
      <c r="D31" s="752">
        <v>42.59</v>
      </c>
      <c r="E31" s="740">
        <v>115.809</v>
      </c>
      <c r="F31" s="752">
        <v>41.61</v>
      </c>
      <c r="G31" s="740">
        <v>26.077999999999999</v>
      </c>
      <c r="H31" s="752">
        <v>27.12</v>
      </c>
      <c r="I31" s="740">
        <v>43.500999999999998</v>
      </c>
      <c r="J31" s="752">
        <v>49.3</v>
      </c>
      <c r="K31" s="740">
        <v>34.613999999999997</v>
      </c>
      <c r="L31" s="752">
        <v>25.39</v>
      </c>
      <c r="M31" s="740">
        <v>36.002000000000002</v>
      </c>
      <c r="N31" s="752">
        <v>21.41</v>
      </c>
      <c r="O31" s="740">
        <v>36.689</v>
      </c>
      <c r="P31" s="752">
        <v>21.43</v>
      </c>
      <c r="Q31" s="740">
        <v>49.747</v>
      </c>
      <c r="R31" s="752">
        <v>22</v>
      </c>
      <c r="S31" s="740">
        <v>59.463000000000001</v>
      </c>
      <c r="T31" s="752">
        <v>32.29</v>
      </c>
      <c r="U31" s="740">
        <v>64.822999999999993</v>
      </c>
      <c r="V31" s="752">
        <v>30.65</v>
      </c>
      <c r="W31" s="740">
        <v>78.119</v>
      </c>
      <c r="X31" s="753">
        <v>34.03</v>
      </c>
      <c r="Z31" s="665">
        <f t="shared" si="0"/>
        <v>102.23729500000002</v>
      </c>
      <c r="AA31" s="472">
        <f t="shared" si="1"/>
        <v>48.188124900000005</v>
      </c>
      <c r="AB31" s="472">
        <f t="shared" si="2"/>
        <v>7.0723536000000005</v>
      </c>
      <c r="AC31" s="472">
        <f t="shared" si="3"/>
        <v>21.445992999999998</v>
      </c>
      <c r="AD31" s="472">
        <f t="shared" si="4"/>
        <v>8.7884945999999999</v>
      </c>
      <c r="AE31" s="472">
        <f t="shared" si="5"/>
        <v>7.7080282000000011</v>
      </c>
      <c r="AF31" s="472">
        <f t="shared" si="6"/>
        <v>7.8624527000000004</v>
      </c>
      <c r="AG31" s="472">
        <f t="shared" si="7"/>
        <v>10.94434</v>
      </c>
      <c r="AH31" s="472">
        <f t="shared" si="8"/>
        <v>19.200602700000001</v>
      </c>
      <c r="AI31" s="472">
        <f t="shared" si="9"/>
        <v>19.868249499999997</v>
      </c>
      <c r="AJ31" s="666">
        <f t="shared" si="10"/>
        <v>26.583895700000003</v>
      </c>
    </row>
    <row r="32" spans="2:36" ht="15" customHeight="1" x14ac:dyDescent="0.2">
      <c r="B32" s="739" t="s">
        <v>289</v>
      </c>
      <c r="C32" s="740">
        <v>63.548999999999999</v>
      </c>
      <c r="D32" s="752">
        <v>53.95</v>
      </c>
      <c r="E32" s="740">
        <v>48.540999999999997</v>
      </c>
      <c r="F32" s="752">
        <v>34.93</v>
      </c>
      <c r="G32" s="740">
        <v>21.111999999999998</v>
      </c>
      <c r="H32" s="752">
        <v>30.32</v>
      </c>
      <c r="I32" s="740">
        <v>20.292000000000002</v>
      </c>
      <c r="J32" s="752">
        <v>31.74</v>
      </c>
      <c r="K32" s="740">
        <v>17.062999999999999</v>
      </c>
      <c r="L32" s="752">
        <v>22.19</v>
      </c>
      <c r="M32" s="740">
        <v>18.001000000000001</v>
      </c>
      <c r="N32" s="752">
        <v>21.42</v>
      </c>
      <c r="O32" s="740">
        <v>22.27</v>
      </c>
      <c r="P32" s="752">
        <v>18.88</v>
      </c>
      <c r="Q32" s="740">
        <v>22.626000000000001</v>
      </c>
      <c r="R32" s="752">
        <v>19.12</v>
      </c>
      <c r="S32" s="740">
        <v>49.206000000000003</v>
      </c>
      <c r="T32" s="752">
        <v>31.49</v>
      </c>
      <c r="U32" s="740">
        <v>21.638999999999999</v>
      </c>
      <c r="V32" s="752">
        <v>25.3</v>
      </c>
      <c r="W32" s="740">
        <v>25.542999999999999</v>
      </c>
      <c r="X32" s="753">
        <v>27.48</v>
      </c>
      <c r="Z32" s="665">
        <f t="shared" si="0"/>
        <v>34.284685500000002</v>
      </c>
      <c r="AA32" s="472">
        <f t="shared" si="1"/>
        <v>16.955371299999999</v>
      </c>
      <c r="AB32" s="472">
        <f t="shared" si="2"/>
        <v>6.401158399999999</v>
      </c>
      <c r="AC32" s="472">
        <f t="shared" si="3"/>
        <v>6.4406808</v>
      </c>
      <c r="AD32" s="472">
        <f t="shared" si="4"/>
        <v>3.7862797000000001</v>
      </c>
      <c r="AE32" s="472">
        <f t="shared" si="5"/>
        <v>3.8558142000000002</v>
      </c>
      <c r="AF32" s="472">
        <f t="shared" si="6"/>
        <v>4.2045759999999994</v>
      </c>
      <c r="AG32" s="472">
        <f t="shared" si="7"/>
        <v>4.3260912000000005</v>
      </c>
      <c r="AH32" s="472">
        <f t="shared" si="8"/>
        <v>15.4949694</v>
      </c>
      <c r="AI32" s="472">
        <f t="shared" si="9"/>
        <v>5.4746669999999993</v>
      </c>
      <c r="AJ32" s="666">
        <f t="shared" si="10"/>
        <v>7.0192164000000004</v>
      </c>
    </row>
    <row r="33" spans="2:36" ht="15" customHeight="1" x14ac:dyDescent="0.2">
      <c r="B33" s="739" t="s">
        <v>306</v>
      </c>
      <c r="C33" s="740">
        <v>175.386</v>
      </c>
      <c r="D33" s="752">
        <v>16.48</v>
      </c>
      <c r="E33" s="740">
        <v>181.68</v>
      </c>
      <c r="F33" s="752">
        <v>18.72</v>
      </c>
      <c r="G33" s="740">
        <v>153.43700000000001</v>
      </c>
      <c r="H33" s="752">
        <v>16.190000000000001</v>
      </c>
      <c r="I33" s="740">
        <v>132.709</v>
      </c>
      <c r="J33" s="752">
        <v>23.23</v>
      </c>
      <c r="K33" s="740">
        <v>109.968</v>
      </c>
      <c r="L33" s="752">
        <v>21.02</v>
      </c>
      <c r="M33" s="740">
        <v>99.257000000000005</v>
      </c>
      <c r="N33" s="752">
        <v>16.010000000000002</v>
      </c>
      <c r="O33" s="740">
        <v>122.413</v>
      </c>
      <c r="P33" s="752">
        <v>23.92</v>
      </c>
      <c r="Q33" s="740">
        <v>113.898</v>
      </c>
      <c r="R33" s="752">
        <v>12.83</v>
      </c>
      <c r="S33" s="740">
        <v>206.43100000000001</v>
      </c>
      <c r="T33" s="752">
        <v>20.51</v>
      </c>
      <c r="U33" s="740">
        <v>115.17100000000001</v>
      </c>
      <c r="V33" s="752">
        <v>14.26</v>
      </c>
      <c r="W33" s="740">
        <v>186.05799999999999</v>
      </c>
      <c r="X33" s="753">
        <v>18.25</v>
      </c>
      <c r="Z33" s="665">
        <f t="shared" si="0"/>
        <v>28.903612800000001</v>
      </c>
      <c r="AA33" s="472">
        <f t="shared" si="1"/>
        <v>34.010495999999996</v>
      </c>
      <c r="AB33" s="472">
        <f t="shared" si="2"/>
        <v>24.841450300000005</v>
      </c>
      <c r="AC33" s="472">
        <f t="shared" si="3"/>
        <v>30.8283007</v>
      </c>
      <c r="AD33" s="472">
        <f t="shared" si="4"/>
        <v>23.115273600000002</v>
      </c>
      <c r="AE33" s="472">
        <f t="shared" si="5"/>
        <v>15.891045700000001</v>
      </c>
      <c r="AF33" s="472">
        <f t="shared" si="6"/>
        <v>29.281189600000001</v>
      </c>
      <c r="AG33" s="472">
        <f t="shared" si="7"/>
        <v>14.6131134</v>
      </c>
      <c r="AH33" s="472">
        <f t="shared" si="8"/>
        <v>42.338998100000005</v>
      </c>
      <c r="AI33" s="472">
        <f t="shared" si="9"/>
        <v>16.423384600000002</v>
      </c>
      <c r="AJ33" s="666">
        <f t="shared" si="10"/>
        <v>33.955584999999999</v>
      </c>
    </row>
    <row r="34" spans="2:36" ht="15" customHeight="1" x14ac:dyDescent="0.2">
      <c r="B34" s="739" t="s">
        <v>290</v>
      </c>
      <c r="C34" s="740">
        <v>173.88300000000001</v>
      </c>
      <c r="D34" s="752">
        <v>37.08</v>
      </c>
      <c r="E34" s="740">
        <v>105.358</v>
      </c>
      <c r="F34" s="752">
        <v>21.07</v>
      </c>
      <c r="G34" s="740">
        <v>55.807000000000002</v>
      </c>
      <c r="H34" s="752">
        <v>25.54</v>
      </c>
      <c r="I34" s="740">
        <v>32.44</v>
      </c>
      <c r="J34" s="752">
        <v>22.84</v>
      </c>
      <c r="K34" s="740">
        <v>36.048000000000002</v>
      </c>
      <c r="L34" s="752">
        <v>19.64</v>
      </c>
      <c r="M34" s="740">
        <v>55.136000000000003</v>
      </c>
      <c r="N34" s="752">
        <v>20.329999999999998</v>
      </c>
      <c r="O34" s="740">
        <v>64.620999999999995</v>
      </c>
      <c r="P34" s="752">
        <v>20.93</v>
      </c>
      <c r="Q34" s="740">
        <v>49.813000000000002</v>
      </c>
      <c r="R34" s="752">
        <v>33.53</v>
      </c>
      <c r="S34" s="740">
        <v>59.04</v>
      </c>
      <c r="T34" s="752">
        <v>25.71</v>
      </c>
      <c r="U34" s="740">
        <v>52.491</v>
      </c>
      <c r="V34" s="752">
        <v>19.190000000000001</v>
      </c>
      <c r="W34" s="740">
        <v>62.95</v>
      </c>
      <c r="X34" s="753">
        <v>23.77</v>
      </c>
      <c r="Z34" s="665">
        <f t="shared" si="0"/>
        <v>64.475816399999999</v>
      </c>
      <c r="AA34" s="472">
        <f t="shared" si="1"/>
        <v>22.198930600000004</v>
      </c>
      <c r="AB34" s="472">
        <f t="shared" si="2"/>
        <v>14.2531078</v>
      </c>
      <c r="AC34" s="472">
        <f t="shared" si="3"/>
        <v>7.4092959999999994</v>
      </c>
      <c r="AD34" s="472">
        <f t="shared" si="4"/>
        <v>7.0798272000000004</v>
      </c>
      <c r="AE34" s="472">
        <f t="shared" si="5"/>
        <v>11.209148800000001</v>
      </c>
      <c r="AF34" s="472">
        <f t="shared" si="6"/>
        <v>13.525175299999999</v>
      </c>
      <c r="AG34" s="472">
        <f t="shared" si="7"/>
        <v>16.702298900000002</v>
      </c>
      <c r="AH34" s="472">
        <f t="shared" si="8"/>
        <v>15.179183999999999</v>
      </c>
      <c r="AI34" s="472">
        <f t="shared" si="9"/>
        <v>10.073022900000002</v>
      </c>
      <c r="AJ34" s="666">
        <f t="shared" si="10"/>
        <v>14.963215</v>
      </c>
    </row>
    <row r="35" spans="2:36" ht="15" customHeight="1" x14ac:dyDescent="0.2">
      <c r="B35" s="739" t="s">
        <v>291</v>
      </c>
      <c r="C35" s="740">
        <v>100.90900000000001</v>
      </c>
      <c r="D35" s="752">
        <v>27.61</v>
      </c>
      <c r="E35" s="740">
        <v>79.908000000000001</v>
      </c>
      <c r="F35" s="752">
        <v>25.96</v>
      </c>
      <c r="G35" s="740">
        <v>39.039000000000001</v>
      </c>
      <c r="H35" s="752">
        <v>26.68</v>
      </c>
      <c r="I35" s="740">
        <v>50.837000000000003</v>
      </c>
      <c r="J35" s="752">
        <v>31.47</v>
      </c>
      <c r="K35" s="740">
        <v>35.65</v>
      </c>
      <c r="L35" s="752">
        <v>22.92</v>
      </c>
      <c r="M35" s="740">
        <v>24.302</v>
      </c>
      <c r="N35" s="752">
        <v>15.31</v>
      </c>
      <c r="O35" s="740">
        <v>44.088999999999999</v>
      </c>
      <c r="P35" s="752">
        <v>15.52</v>
      </c>
      <c r="Q35" s="740">
        <v>39.719000000000001</v>
      </c>
      <c r="R35" s="752">
        <v>16.22</v>
      </c>
      <c r="S35" s="740">
        <v>38.395000000000003</v>
      </c>
      <c r="T35" s="752">
        <v>21.09</v>
      </c>
      <c r="U35" s="740">
        <v>47.356000000000002</v>
      </c>
      <c r="V35" s="752">
        <v>24.42</v>
      </c>
      <c r="W35" s="740">
        <v>53.656999999999996</v>
      </c>
      <c r="X35" s="753">
        <v>19.63</v>
      </c>
      <c r="Z35" s="665">
        <f t="shared" si="0"/>
        <v>27.860974900000002</v>
      </c>
      <c r="AA35" s="472">
        <f t="shared" si="1"/>
        <v>20.7441168</v>
      </c>
      <c r="AB35" s="472">
        <f t="shared" si="2"/>
        <v>10.4156052</v>
      </c>
      <c r="AC35" s="472">
        <f t="shared" si="3"/>
        <v>15.998403900000001</v>
      </c>
      <c r="AD35" s="472">
        <f t="shared" si="4"/>
        <v>8.1709800000000001</v>
      </c>
      <c r="AE35" s="472">
        <f t="shared" si="5"/>
        <v>3.7206361999999999</v>
      </c>
      <c r="AF35" s="472">
        <f t="shared" si="6"/>
        <v>6.8426127999999995</v>
      </c>
      <c r="AG35" s="472">
        <f t="shared" si="7"/>
        <v>6.4424218</v>
      </c>
      <c r="AH35" s="472">
        <f t="shared" si="8"/>
        <v>8.0975055000000005</v>
      </c>
      <c r="AI35" s="472">
        <f t="shared" si="9"/>
        <v>11.5643352</v>
      </c>
      <c r="AJ35" s="666">
        <f t="shared" si="10"/>
        <v>10.532869099999997</v>
      </c>
    </row>
    <row r="36" spans="2:36" ht="15" customHeight="1" x14ac:dyDescent="0.2">
      <c r="B36" s="739" t="s">
        <v>292</v>
      </c>
      <c r="C36" s="740">
        <v>235.62200000000001</v>
      </c>
      <c r="D36" s="752">
        <v>14.74</v>
      </c>
      <c r="E36" s="740">
        <v>207.261</v>
      </c>
      <c r="F36" s="752">
        <v>14.37</v>
      </c>
      <c r="G36" s="740">
        <v>102.551</v>
      </c>
      <c r="H36" s="752">
        <v>16.04</v>
      </c>
      <c r="I36" s="740">
        <v>69.957999999999998</v>
      </c>
      <c r="J36" s="752">
        <v>14.4</v>
      </c>
      <c r="K36" s="740">
        <v>88.838999999999999</v>
      </c>
      <c r="L36" s="752">
        <v>19.899999999999999</v>
      </c>
      <c r="M36" s="740">
        <v>91.116</v>
      </c>
      <c r="N36" s="752">
        <v>17.39</v>
      </c>
      <c r="O36" s="740">
        <v>117.491</v>
      </c>
      <c r="P36" s="752">
        <v>14.35</v>
      </c>
      <c r="Q36" s="740">
        <v>88.691000000000003</v>
      </c>
      <c r="R36" s="752">
        <v>14.21</v>
      </c>
      <c r="S36" s="740">
        <v>118.07899999999999</v>
      </c>
      <c r="T36" s="752">
        <v>13.92</v>
      </c>
      <c r="U36" s="740">
        <v>129.68100000000001</v>
      </c>
      <c r="V36" s="752">
        <v>16.43</v>
      </c>
      <c r="W36" s="740">
        <v>97.948999999999998</v>
      </c>
      <c r="X36" s="753">
        <v>11.88</v>
      </c>
      <c r="Z36" s="665">
        <f t="shared" si="0"/>
        <v>34.730682800000004</v>
      </c>
      <c r="AA36" s="472">
        <f t="shared" si="1"/>
        <v>29.783405699999999</v>
      </c>
      <c r="AB36" s="472">
        <f t="shared" si="2"/>
        <v>16.449180399999999</v>
      </c>
      <c r="AC36" s="472">
        <f t="shared" si="3"/>
        <v>10.073952</v>
      </c>
      <c r="AD36" s="472">
        <f t="shared" si="4"/>
        <v>17.678961000000001</v>
      </c>
      <c r="AE36" s="472">
        <f t="shared" si="5"/>
        <v>15.845072400000001</v>
      </c>
      <c r="AF36" s="472">
        <f t="shared" si="6"/>
        <v>16.859958500000001</v>
      </c>
      <c r="AG36" s="472">
        <f t="shared" si="7"/>
        <v>12.602991100000002</v>
      </c>
      <c r="AH36" s="472">
        <f t="shared" si="8"/>
        <v>16.4365968</v>
      </c>
      <c r="AI36" s="472">
        <f t="shared" si="9"/>
        <v>21.306588300000001</v>
      </c>
      <c r="AJ36" s="666">
        <f t="shared" si="10"/>
        <v>11.636341200000002</v>
      </c>
    </row>
    <row r="37" spans="2:36" ht="15" customHeight="1" x14ac:dyDescent="0.2">
      <c r="B37" s="739" t="s">
        <v>293</v>
      </c>
      <c r="C37" s="740">
        <v>272.06400000000002</v>
      </c>
      <c r="D37" s="752">
        <v>15.85</v>
      </c>
      <c r="E37" s="740">
        <v>253.17</v>
      </c>
      <c r="F37" s="752">
        <v>14.51</v>
      </c>
      <c r="G37" s="740">
        <v>136.49100000000001</v>
      </c>
      <c r="H37" s="752">
        <v>18.68</v>
      </c>
      <c r="I37" s="740">
        <v>157.709</v>
      </c>
      <c r="J37" s="752">
        <v>27.29</v>
      </c>
      <c r="K37" s="740">
        <v>99.477999999999994</v>
      </c>
      <c r="L37" s="752">
        <v>12.59</v>
      </c>
      <c r="M37" s="740">
        <v>90.569000000000003</v>
      </c>
      <c r="N37" s="752">
        <v>12.39</v>
      </c>
      <c r="O37" s="740">
        <v>136.179</v>
      </c>
      <c r="P37" s="752">
        <v>16.23</v>
      </c>
      <c r="Q37" s="740">
        <v>174.178</v>
      </c>
      <c r="R37" s="752">
        <v>19.13</v>
      </c>
      <c r="S37" s="740">
        <v>143.429</v>
      </c>
      <c r="T37" s="752">
        <v>14.01</v>
      </c>
      <c r="U37" s="740">
        <v>155.244</v>
      </c>
      <c r="V37" s="752">
        <v>16.16</v>
      </c>
      <c r="W37" s="740">
        <v>140.435</v>
      </c>
      <c r="X37" s="753">
        <v>19.27</v>
      </c>
      <c r="Z37" s="665">
        <f t="shared" si="0"/>
        <v>43.122143999999999</v>
      </c>
      <c r="AA37" s="472">
        <f t="shared" si="1"/>
        <v>36.734966999999997</v>
      </c>
      <c r="AB37" s="472">
        <f t="shared" si="2"/>
        <v>25.496518800000004</v>
      </c>
      <c r="AC37" s="472">
        <f t="shared" si="3"/>
        <v>43.038786099999996</v>
      </c>
      <c r="AD37" s="472">
        <f t="shared" si="4"/>
        <v>12.524280199999998</v>
      </c>
      <c r="AE37" s="472">
        <f t="shared" si="5"/>
        <v>11.221499100000001</v>
      </c>
      <c r="AF37" s="472">
        <f t="shared" si="6"/>
        <v>22.101851700000001</v>
      </c>
      <c r="AG37" s="472">
        <f t="shared" si="7"/>
        <v>33.320251399999997</v>
      </c>
      <c r="AH37" s="472">
        <f t="shared" si="8"/>
        <v>20.094402899999999</v>
      </c>
      <c r="AI37" s="472">
        <f t="shared" si="9"/>
        <v>25.087430399999999</v>
      </c>
      <c r="AJ37" s="666">
        <f t="shared" si="10"/>
        <v>27.061824499999997</v>
      </c>
    </row>
    <row r="38" spans="2:36" ht="15" customHeight="1" x14ac:dyDescent="0.2">
      <c r="B38" s="739" t="s">
        <v>294</v>
      </c>
      <c r="C38" s="740">
        <v>148.99799999999999</v>
      </c>
      <c r="D38" s="752">
        <v>23.12</v>
      </c>
      <c r="E38" s="740">
        <v>175.642</v>
      </c>
      <c r="F38" s="752">
        <v>42.29</v>
      </c>
      <c r="G38" s="740">
        <v>60.945</v>
      </c>
      <c r="H38" s="752">
        <v>20.43</v>
      </c>
      <c r="I38" s="740">
        <v>47.072000000000003</v>
      </c>
      <c r="J38" s="752">
        <v>18.809999999999999</v>
      </c>
      <c r="K38" s="740">
        <v>66.308000000000007</v>
      </c>
      <c r="L38" s="752">
        <v>28.15</v>
      </c>
      <c r="M38" s="740">
        <v>62.664000000000001</v>
      </c>
      <c r="N38" s="752">
        <v>23.63</v>
      </c>
      <c r="O38" s="740">
        <v>84.242000000000004</v>
      </c>
      <c r="P38" s="752">
        <v>23.06</v>
      </c>
      <c r="Q38" s="740">
        <v>62.595999999999997</v>
      </c>
      <c r="R38" s="752">
        <v>10.81</v>
      </c>
      <c r="S38" s="740">
        <v>70.582999999999998</v>
      </c>
      <c r="T38" s="752">
        <v>11.55</v>
      </c>
      <c r="U38" s="740">
        <v>83.888000000000005</v>
      </c>
      <c r="V38" s="752">
        <v>20.27</v>
      </c>
      <c r="W38" s="740">
        <v>71.281999999999996</v>
      </c>
      <c r="X38" s="753">
        <v>19.93</v>
      </c>
      <c r="Z38" s="665">
        <f t="shared" si="0"/>
        <v>34.448337600000002</v>
      </c>
      <c r="AA38" s="472">
        <f t="shared" si="1"/>
        <v>74.279001800000003</v>
      </c>
      <c r="AB38" s="472">
        <f t="shared" si="2"/>
        <v>12.4510635</v>
      </c>
      <c r="AC38" s="472">
        <f t="shared" si="3"/>
        <v>8.8542431999999991</v>
      </c>
      <c r="AD38" s="472">
        <f t="shared" si="4"/>
        <v>18.665702</v>
      </c>
      <c r="AE38" s="472">
        <f t="shared" si="5"/>
        <v>14.807503199999999</v>
      </c>
      <c r="AF38" s="472">
        <f t="shared" si="6"/>
        <v>19.426205199999998</v>
      </c>
      <c r="AG38" s="472">
        <f t="shared" si="7"/>
        <v>6.7666276000000005</v>
      </c>
      <c r="AH38" s="472">
        <f t="shared" si="8"/>
        <v>8.1523365000000005</v>
      </c>
      <c r="AI38" s="472">
        <f t="shared" si="9"/>
        <v>17.004097600000001</v>
      </c>
      <c r="AJ38" s="666">
        <f t="shared" si="10"/>
        <v>14.206502599999999</v>
      </c>
    </row>
    <row r="39" spans="2:36" ht="15" customHeight="1" x14ac:dyDescent="0.2">
      <c r="B39" s="739" t="s">
        <v>295</v>
      </c>
      <c r="C39" s="740">
        <v>359.38200000000001</v>
      </c>
      <c r="D39" s="752">
        <v>20.96</v>
      </c>
      <c r="E39" s="740">
        <v>325.99099999999999</v>
      </c>
      <c r="F39" s="752">
        <v>16.95</v>
      </c>
      <c r="G39" s="740">
        <v>184.98400000000001</v>
      </c>
      <c r="H39" s="752">
        <v>17.79</v>
      </c>
      <c r="I39" s="740">
        <v>176.03299999999999</v>
      </c>
      <c r="J39" s="752">
        <v>18.670000000000002</v>
      </c>
      <c r="K39" s="740">
        <v>145.39400000000001</v>
      </c>
      <c r="L39" s="752">
        <v>22.95</v>
      </c>
      <c r="M39" s="740">
        <v>93.040999999999997</v>
      </c>
      <c r="N39" s="752">
        <v>11.7</v>
      </c>
      <c r="O39" s="740">
        <v>123.294</v>
      </c>
      <c r="P39" s="752">
        <v>23.08</v>
      </c>
      <c r="Q39" s="740">
        <v>157.60499999999999</v>
      </c>
      <c r="R39" s="752">
        <v>23.49</v>
      </c>
      <c r="S39" s="740">
        <v>138.49700000000001</v>
      </c>
      <c r="T39" s="752">
        <v>12.36</v>
      </c>
      <c r="U39" s="740">
        <v>148.553</v>
      </c>
      <c r="V39" s="752">
        <v>17.54</v>
      </c>
      <c r="W39" s="740">
        <v>112.062</v>
      </c>
      <c r="X39" s="753">
        <v>12.19</v>
      </c>
      <c r="Z39" s="665">
        <f t="shared" si="0"/>
        <v>75.32646720000001</v>
      </c>
      <c r="AA39" s="472">
        <f t="shared" si="1"/>
        <v>55.255474499999991</v>
      </c>
      <c r="AB39" s="472">
        <f t="shared" si="2"/>
        <v>32.908653600000001</v>
      </c>
      <c r="AC39" s="472">
        <f t="shared" si="3"/>
        <v>32.865361100000001</v>
      </c>
      <c r="AD39" s="472">
        <f t="shared" si="4"/>
        <v>33.367922999999998</v>
      </c>
      <c r="AE39" s="472">
        <f t="shared" si="5"/>
        <v>10.885797</v>
      </c>
      <c r="AF39" s="472">
        <f t="shared" si="6"/>
        <v>28.456255199999998</v>
      </c>
      <c r="AG39" s="472">
        <f t="shared" si="7"/>
        <v>37.021414499999999</v>
      </c>
      <c r="AH39" s="472">
        <f t="shared" si="8"/>
        <v>17.118229200000002</v>
      </c>
      <c r="AI39" s="472">
        <f t="shared" si="9"/>
        <v>26.056196199999999</v>
      </c>
      <c r="AJ39" s="666">
        <f t="shared" si="10"/>
        <v>13.6603578</v>
      </c>
    </row>
    <row r="40" spans="2:36" ht="15" customHeight="1" thickBot="1" x14ac:dyDescent="0.25">
      <c r="B40" s="742" t="s">
        <v>296</v>
      </c>
      <c r="C40" s="743">
        <v>312.93900000000002</v>
      </c>
      <c r="D40" s="754">
        <v>17.11</v>
      </c>
      <c r="E40" s="743">
        <v>230.13499999999999</v>
      </c>
      <c r="F40" s="754">
        <v>11.33</v>
      </c>
      <c r="G40" s="743">
        <v>132.29499999999999</v>
      </c>
      <c r="H40" s="754">
        <v>15.45</v>
      </c>
      <c r="I40" s="743">
        <v>97.617000000000004</v>
      </c>
      <c r="J40" s="754">
        <v>15.35</v>
      </c>
      <c r="K40" s="743">
        <v>102.22799999999999</v>
      </c>
      <c r="L40" s="754">
        <v>14.33</v>
      </c>
      <c r="M40" s="743">
        <v>88.022999999999996</v>
      </c>
      <c r="N40" s="754">
        <v>11.9</v>
      </c>
      <c r="O40" s="743">
        <v>133.364</v>
      </c>
      <c r="P40" s="754">
        <v>11.81</v>
      </c>
      <c r="Q40" s="743">
        <v>111.53400000000001</v>
      </c>
      <c r="R40" s="754">
        <v>11.53</v>
      </c>
      <c r="S40" s="743">
        <v>143.5</v>
      </c>
      <c r="T40" s="754">
        <v>14.39</v>
      </c>
      <c r="U40" s="743">
        <v>123.72199999999999</v>
      </c>
      <c r="V40" s="754">
        <v>10.84</v>
      </c>
      <c r="W40" s="743">
        <v>151.726</v>
      </c>
      <c r="X40" s="755">
        <v>11.05</v>
      </c>
      <c r="Z40" s="683">
        <f t="shared" si="0"/>
        <v>53.543862900000001</v>
      </c>
      <c r="AA40" s="684">
        <f t="shared" si="1"/>
        <v>26.074295499999998</v>
      </c>
      <c r="AB40" s="684">
        <f t="shared" si="2"/>
        <v>20.439577499999999</v>
      </c>
      <c r="AC40" s="684">
        <f t="shared" si="3"/>
        <v>14.984209499999999</v>
      </c>
      <c r="AD40" s="684">
        <f t="shared" si="4"/>
        <v>14.649272399999999</v>
      </c>
      <c r="AE40" s="684">
        <f t="shared" si="5"/>
        <v>10.474736999999999</v>
      </c>
      <c r="AF40" s="684">
        <f t="shared" si="6"/>
        <v>15.750288400000002</v>
      </c>
      <c r="AG40" s="684">
        <f t="shared" si="7"/>
        <v>12.8598702</v>
      </c>
      <c r="AH40" s="684">
        <f t="shared" si="8"/>
        <v>20.649650000000001</v>
      </c>
      <c r="AI40" s="684">
        <f t="shared" si="9"/>
        <v>13.411464799999999</v>
      </c>
      <c r="AJ40" s="685">
        <f t="shared" si="10"/>
        <v>16.765723000000001</v>
      </c>
    </row>
    <row r="43" spans="2:36" ht="15" customHeight="1" x14ac:dyDescent="0.2">
      <c r="B43" s="1015" t="s">
        <v>105</v>
      </c>
      <c r="C43" s="733" t="s">
        <v>332</v>
      </c>
      <c r="D43" s="733" t="s">
        <v>222</v>
      </c>
      <c r="E43" s="733" t="s">
        <v>225</v>
      </c>
      <c r="F43" s="733" t="s">
        <v>226</v>
      </c>
      <c r="G43" s="733" t="s">
        <v>227</v>
      </c>
      <c r="H43" s="733" t="s">
        <v>228</v>
      </c>
      <c r="I43" s="733" t="s">
        <v>333</v>
      </c>
      <c r="J43" s="733" t="s">
        <v>334</v>
      </c>
      <c r="K43" s="733" t="s">
        <v>231</v>
      </c>
      <c r="L43" s="733" t="s">
        <v>232</v>
      </c>
      <c r="M43" s="733" t="s">
        <v>233</v>
      </c>
      <c r="N43" s="756"/>
    </row>
    <row r="44" spans="2:36" ht="15" customHeight="1" x14ac:dyDescent="0.2">
      <c r="B44" s="1016"/>
      <c r="C44" s="732" t="s">
        <v>309</v>
      </c>
      <c r="D44" s="732" t="s">
        <v>309</v>
      </c>
      <c r="E44" s="732" t="s">
        <v>309</v>
      </c>
      <c r="F44" s="732" t="s">
        <v>309</v>
      </c>
      <c r="G44" s="732" t="s">
        <v>309</v>
      </c>
      <c r="H44" s="732" t="s">
        <v>309</v>
      </c>
      <c r="I44" s="732" t="s">
        <v>309</v>
      </c>
      <c r="J44" s="732" t="s">
        <v>309</v>
      </c>
      <c r="K44" s="732" t="s">
        <v>309</v>
      </c>
      <c r="L44" s="732" t="s">
        <v>309</v>
      </c>
      <c r="M44" s="734" t="s">
        <v>309</v>
      </c>
      <c r="N44" s="757"/>
    </row>
    <row r="45" spans="2:36" ht="30" customHeight="1" thickBot="1" x14ac:dyDescent="0.25">
      <c r="B45" s="1017"/>
      <c r="C45" s="735" t="s">
        <v>326</v>
      </c>
      <c r="D45" s="735" t="s">
        <v>326</v>
      </c>
      <c r="E45" s="735" t="s">
        <v>326</v>
      </c>
      <c r="F45" s="735" t="s">
        <v>326</v>
      </c>
      <c r="G45" s="735" t="s">
        <v>326</v>
      </c>
      <c r="H45" s="735" t="s">
        <v>326</v>
      </c>
      <c r="I45" s="735" t="s">
        <v>326</v>
      </c>
      <c r="J45" s="735" t="s">
        <v>326</v>
      </c>
      <c r="K45" s="735" t="s">
        <v>326</v>
      </c>
      <c r="L45" s="735" t="s">
        <v>326</v>
      </c>
      <c r="M45" s="735" t="s">
        <v>326</v>
      </c>
      <c r="N45" s="758"/>
    </row>
    <row r="46" spans="2:36" ht="15" customHeight="1" x14ac:dyDescent="0.2">
      <c r="B46" s="736" t="s">
        <v>721</v>
      </c>
      <c r="C46" s="737">
        <f>C26</f>
        <v>2957.9369999999999</v>
      </c>
      <c r="D46" s="737">
        <f>E26</f>
        <v>3264.904</v>
      </c>
      <c r="E46" s="737">
        <f>G26</f>
        <v>2956.4490000000001</v>
      </c>
      <c r="F46" s="737">
        <f>I26</f>
        <v>3052.6990000000001</v>
      </c>
      <c r="G46" s="737">
        <f>K26</f>
        <v>2910.4050000000002</v>
      </c>
      <c r="H46" s="737">
        <f>M26</f>
        <v>2272.7440000000001</v>
      </c>
      <c r="I46" s="737">
        <f>O26</f>
        <v>1864.1179999999999</v>
      </c>
      <c r="J46" s="737">
        <f>Q26</f>
        <v>1537.9449999999999</v>
      </c>
      <c r="K46" s="737">
        <f>S26</f>
        <v>1437.366</v>
      </c>
      <c r="L46" s="737">
        <f>U26</f>
        <v>1622.8710000000001</v>
      </c>
      <c r="M46" s="738">
        <f>W26</f>
        <v>1370.6420000000001</v>
      </c>
      <c r="N46" s="737"/>
    </row>
    <row r="47" spans="2:36" ht="15" customHeight="1" x14ac:dyDescent="0.2">
      <c r="B47" s="739" t="s">
        <v>286</v>
      </c>
      <c r="C47" s="740">
        <f t="shared" ref="C47:C60" si="11">C27</f>
        <v>153.881</v>
      </c>
      <c r="D47" s="740">
        <f t="shared" ref="D47:D60" si="12">E27</f>
        <v>167.83799999999999</v>
      </c>
      <c r="E47" s="740">
        <f t="shared" ref="E47:E60" si="13">G27</f>
        <v>61.006</v>
      </c>
      <c r="F47" s="740">
        <f t="shared" ref="F47:F60" si="14">I27</f>
        <v>94.503</v>
      </c>
      <c r="G47" s="740">
        <f t="shared" ref="G47:G60" si="15">K27</f>
        <v>41.994</v>
      </c>
      <c r="H47" s="740">
        <f t="shared" ref="H47:H60" si="16">M27</f>
        <v>46.180999999999997</v>
      </c>
      <c r="I47" s="740">
        <f t="shared" ref="I47:I60" si="17">O27</f>
        <v>67.045000000000002</v>
      </c>
      <c r="J47" s="740">
        <f t="shared" ref="J47:J60" si="18">Q27</f>
        <v>102.124</v>
      </c>
      <c r="K47" s="740">
        <f t="shared" ref="K47:K60" si="19">S27</f>
        <v>53.963000000000001</v>
      </c>
      <c r="L47" s="740">
        <f t="shared" ref="L47:L60" si="20">U27</f>
        <v>61.670999999999999</v>
      </c>
      <c r="M47" s="741">
        <f t="shared" ref="M47:M60" si="21">W27</f>
        <v>67.144999999999996</v>
      </c>
      <c r="N47" s="740"/>
    </row>
    <row r="48" spans="2:36" ht="15" customHeight="1" x14ac:dyDescent="0.2">
      <c r="B48" s="739" t="s">
        <v>307</v>
      </c>
      <c r="C48" s="740">
        <f t="shared" si="11"/>
        <v>76.659000000000006</v>
      </c>
      <c r="D48" s="740">
        <f t="shared" si="12"/>
        <v>71.724999999999994</v>
      </c>
      <c r="E48" s="740">
        <f t="shared" si="13"/>
        <v>17.383749999999999</v>
      </c>
      <c r="F48" s="740">
        <f t="shared" si="14"/>
        <v>54.444000000000003</v>
      </c>
      <c r="G48" s="740">
        <f t="shared" si="15"/>
        <v>54.802999999999997</v>
      </c>
      <c r="H48" s="740">
        <f t="shared" si="16"/>
        <v>81.849999999999994</v>
      </c>
      <c r="I48" s="740">
        <f t="shared" si="17"/>
        <v>90.275000000000006</v>
      </c>
      <c r="J48" s="740">
        <f t="shared" si="18"/>
        <v>61.390999999999998</v>
      </c>
      <c r="K48" s="740">
        <f t="shared" si="19"/>
        <v>59.960999999999999</v>
      </c>
      <c r="L48" s="740">
        <f t="shared" si="20"/>
        <v>66.349999999999994</v>
      </c>
      <c r="M48" s="741">
        <f t="shared" si="21"/>
        <v>81.378</v>
      </c>
      <c r="N48" s="740"/>
    </row>
    <row r="49" spans="2:14" ht="15" customHeight="1" x14ac:dyDescent="0.2">
      <c r="B49" s="739" t="s">
        <v>287</v>
      </c>
      <c r="C49" s="740">
        <f t="shared" si="11"/>
        <v>149.923</v>
      </c>
      <c r="D49" s="740">
        <f t="shared" si="12"/>
        <v>114.81699999999999</v>
      </c>
      <c r="E49" s="740">
        <f t="shared" si="13"/>
        <v>95.477000000000004</v>
      </c>
      <c r="F49" s="740">
        <f t="shared" si="14"/>
        <v>44.831000000000003</v>
      </c>
      <c r="G49" s="740">
        <f t="shared" si="15"/>
        <v>109.093</v>
      </c>
      <c r="H49" s="740">
        <f t="shared" si="16"/>
        <v>62.363999999999997</v>
      </c>
      <c r="I49" s="740">
        <f t="shared" si="17"/>
        <v>71.593000000000004</v>
      </c>
      <c r="J49" s="740">
        <f t="shared" si="18"/>
        <v>67.191999999999993</v>
      </c>
      <c r="K49" s="740">
        <f t="shared" si="19"/>
        <v>67.012</v>
      </c>
      <c r="L49" s="740">
        <f t="shared" si="20"/>
        <v>69.75</v>
      </c>
      <c r="M49" s="741">
        <f t="shared" si="21"/>
        <v>96.977999999999994</v>
      </c>
      <c r="N49" s="740"/>
    </row>
    <row r="50" spans="2:14" ht="15" customHeight="1" x14ac:dyDescent="0.2">
      <c r="B50" s="739" t="s">
        <v>288</v>
      </c>
      <c r="C50" s="740">
        <f t="shared" si="11"/>
        <v>147.863</v>
      </c>
      <c r="D50" s="740">
        <f t="shared" si="12"/>
        <v>109.11799999999999</v>
      </c>
      <c r="E50" s="740">
        <f t="shared" si="13"/>
        <v>76.44</v>
      </c>
      <c r="F50" s="740">
        <f t="shared" si="14"/>
        <v>76.94</v>
      </c>
      <c r="G50" s="740">
        <f t="shared" si="15"/>
        <v>58.609000000000002</v>
      </c>
      <c r="H50" s="740">
        <f t="shared" si="16"/>
        <v>29.579000000000001</v>
      </c>
      <c r="I50" s="740">
        <f t="shared" si="17"/>
        <v>53.497999999999998</v>
      </c>
      <c r="J50" s="740">
        <f t="shared" si="18"/>
        <v>66.314999999999998</v>
      </c>
      <c r="K50" s="740">
        <f t="shared" si="19"/>
        <v>46.466000000000001</v>
      </c>
      <c r="L50" s="740">
        <f t="shared" si="20"/>
        <v>58.829000000000001</v>
      </c>
      <c r="M50" s="741">
        <f t="shared" si="21"/>
        <v>63.308999999999997</v>
      </c>
      <c r="N50" s="740"/>
    </row>
    <row r="51" spans="2:14" ht="15" customHeight="1" x14ac:dyDescent="0.2">
      <c r="B51" s="739" t="s">
        <v>305</v>
      </c>
      <c r="C51" s="740">
        <f t="shared" si="11"/>
        <v>240.05</v>
      </c>
      <c r="D51" s="740">
        <f t="shared" si="12"/>
        <v>115.809</v>
      </c>
      <c r="E51" s="740">
        <f t="shared" si="13"/>
        <v>26.077999999999999</v>
      </c>
      <c r="F51" s="740">
        <f t="shared" si="14"/>
        <v>43.500999999999998</v>
      </c>
      <c r="G51" s="740">
        <f t="shared" si="15"/>
        <v>34.613999999999997</v>
      </c>
      <c r="H51" s="740">
        <f t="shared" si="16"/>
        <v>36.002000000000002</v>
      </c>
      <c r="I51" s="740">
        <f t="shared" si="17"/>
        <v>36.689</v>
      </c>
      <c r="J51" s="740">
        <f t="shared" si="18"/>
        <v>49.747</v>
      </c>
      <c r="K51" s="740">
        <f t="shared" si="19"/>
        <v>59.463000000000001</v>
      </c>
      <c r="L51" s="740">
        <f t="shared" si="20"/>
        <v>64.822999999999993</v>
      </c>
      <c r="M51" s="741">
        <f t="shared" si="21"/>
        <v>78.119</v>
      </c>
      <c r="N51" s="740"/>
    </row>
    <row r="52" spans="2:14" ht="15" customHeight="1" x14ac:dyDescent="0.2">
      <c r="B52" s="739" t="s">
        <v>289</v>
      </c>
      <c r="C52" s="740">
        <f t="shared" si="11"/>
        <v>63.548999999999999</v>
      </c>
      <c r="D52" s="740">
        <f t="shared" si="12"/>
        <v>48.540999999999997</v>
      </c>
      <c r="E52" s="740">
        <f t="shared" si="13"/>
        <v>21.111999999999998</v>
      </c>
      <c r="F52" s="740">
        <f t="shared" si="14"/>
        <v>20.292000000000002</v>
      </c>
      <c r="G52" s="740">
        <f t="shared" si="15"/>
        <v>17.062999999999999</v>
      </c>
      <c r="H52" s="740">
        <f t="shared" si="16"/>
        <v>18.001000000000001</v>
      </c>
      <c r="I52" s="740">
        <f t="shared" si="17"/>
        <v>22.27</v>
      </c>
      <c r="J52" s="740">
        <f t="shared" si="18"/>
        <v>22.626000000000001</v>
      </c>
      <c r="K52" s="740">
        <f t="shared" si="19"/>
        <v>49.206000000000003</v>
      </c>
      <c r="L52" s="740">
        <f t="shared" si="20"/>
        <v>21.638999999999999</v>
      </c>
      <c r="M52" s="741">
        <f t="shared" si="21"/>
        <v>25.542999999999999</v>
      </c>
      <c r="N52" s="740"/>
    </row>
    <row r="53" spans="2:14" ht="15" customHeight="1" x14ac:dyDescent="0.2">
      <c r="B53" s="739" t="s">
        <v>306</v>
      </c>
      <c r="C53" s="740">
        <f t="shared" si="11"/>
        <v>175.386</v>
      </c>
      <c r="D53" s="740">
        <f t="shared" si="12"/>
        <v>181.68</v>
      </c>
      <c r="E53" s="740">
        <f t="shared" si="13"/>
        <v>153.43700000000001</v>
      </c>
      <c r="F53" s="740">
        <f t="shared" si="14"/>
        <v>132.709</v>
      </c>
      <c r="G53" s="740">
        <f t="shared" si="15"/>
        <v>109.968</v>
      </c>
      <c r="H53" s="740">
        <f t="shared" si="16"/>
        <v>99.257000000000005</v>
      </c>
      <c r="I53" s="740">
        <f t="shared" si="17"/>
        <v>122.413</v>
      </c>
      <c r="J53" s="740">
        <f t="shared" si="18"/>
        <v>113.898</v>
      </c>
      <c r="K53" s="740">
        <f t="shared" si="19"/>
        <v>206.43100000000001</v>
      </c>
      <c r="L53" s="740">
        <f t="shared" si="20"/>
        <v>115.17100000000001</v>
      </c>
      <c r="M53" s="741">
        <f t="shared" si="21"/>
        <v>186.05799999999999</v>
      </c>
      <c r="N53" s="740"/>
    </row>
    <row r="54" spans="2:14" ht="15" customHeight="1" x14ac:dyDescent="0.2">
      <c r="B54" s="739" t="s">
        <v>290</v>
      </c>
      <c r="C54" s="740">
        <f t="shared" si="11"/>
        <v>173.88300000000001</v>
      </c>
      <c r="D54" s="740">
        <f t="shared" si="12"/>
        <v>105.358</v>
      </c>
      <c r="E54" s="740">
        <f t="shared" si="13"/>
        <v>55.807000000000002</v>
      </c>
      <c r="F54" s="740">
        <f t="shared" si="14"/>
        <v>32.44</v>
      </c>
      <c r="G54" s="740">
        <f t="shared" si="15"/>
        <v>36.048000000000002</v>
      </c>
      <c r="H54" s="740">
        <f t="shared" si="16"/>
        <v>55.136000000000003</v>
      </c>
      <c r="I54" s="740">
        <f t="shared" si="17"/>
        <v>64.620999999999995</v>
      </c>
      <c r="J54" s="740">
        <f t="shared" si="18"/>
        <v>49.813000000000002</v>
      </c>
      <c r="K54" s="740">
        <f t="shared" si="19"/>
        <v>59.04</v>
      </c>
      <c r="L54" s="740">
        <f t="shared" si="20"/>
        <v>52.491</v>
      </c>
      <c r="M54" s="741">
        <f t="shared" si="21"/>
        <v>62.95</v>
      </c>
      <c r="N54" s="740"/>
    </row>
    <row r="55" spans="2:14" ht="15" customHeight="1" x14ac:dyDescent="0.2">
      <c r="B55" s="739" t="s">
        <v>291</v>
      </c>
      <c r="C55" s="740">
        <f t="shared" si="11"/>
        <v>100.90900000000001</v>
      </c>
      <c r="D55" s="740">
        <f t="shared" si="12"/>
        <v>79.908000000000001</v>
      </c>
      <c r="E55" s="740">
        <f t="shared" si="13"/>
        <v>39.039000000000001</v>
      </c>
      <c r="F55" s="740">
        <f t="shared" si="14"/>
        <v>50.837000000000003</v>
      </c>
      <c r="G55" s="740">
        <f t="shared" si="15"/>
        <v>35.65</v>
      </c>
      <c r="H55" s="740">
        <f t="shared" si="16"/>
        <v>24.302</v>
      </c>
      <c r="I55" s="740">
        <f t="shared" si="17"/>
        <v>44.088999999999999</v>
      </c>
      <c r="J55" s="740">
        <f t="shared" si="18"/>
        <v>39.719000000000001</v>
      </c>
      <c r="K55" s="740">
        <f t="shared" si="19"/>
        <v>38.395000000000003</v>
      </c>
      <c r="L55" s="740">
        <f t="shared" si="20"/>
        <v>47.356000000000002</v>
      </c>
      <c r="M55" s="741">
        <f t="shared" si="21"/>
        <v>53.656999999999996</v>
      </c>
      <c r="N55" s="740"/>
    </row>
    <row r="56" spans="2:14" ht="15" customHeight="1" x14ac:dyDescent="0.2">
      <c r="B56" s="739" t="s">
        <v>292</v>
      </c>
      <c r="C56" s="740">
        <f t="shared" si="11"/>
        <v>235.62200000000001</v>
      </c>
      <c r="D56" s="740">
        <f t="shared" si="12"/>
        <v>207.261</v>
      </c>
      <c r="E56" s="740">
        <f t="shared" si="13"/>
        <v>102.551</v>
      </c>
      <c r="F56" s="740">
        <f t="shared" si="14"/>
        <v>69.957999999999998</v>
      </c>
      <c r="G56" s="740">
        <f t="shared" si="15"/>
        <v>88.838999999999999</v>
      </c>
      <c r="H56" s="740">
        <f t="shared" si="16"/>
        <v>91.116</v>
      </c>
      <c r="I56" s="740">
        <f t="shared" si="17"/>
        <v>117.491</v>
      </c>
      <c r="J56" s="740">
        <f t="shared" si="18"/>
        <v>88.691000000000003</v>
      </c>
      <c r="K56" s="740">
        <f t="shared" si="19"/>
        <v>118.07899999999999</v>
      </c>
      <c r="L56" s="740">
        <f t="shared" si="20"/>
        <v>129.68100000000001</v>
      </c>
      <c r="M56" s="741">
        <f t="shared" si="21"/>
        <v>97.948999999999998</v>
      </c>
      <c r="N56" s="740"/>
    </row>
    <row r="57" spans="2:14" ht="15" customHeight="1" x14ac:dyDescent="0.2">
      <c r="B57" s="739" t="s">
        <v>293</v>
      </c>
      <c r="C57" s="740">
        <f t="shared" si="11"/>
        <v>272.06400000000002</v>
      </c>
      <c r="D57" s="740">
        <f t="shared" si="12"/>
        <v>253.17</v>
      </c>
      <c r="E57" s="740">
        <f t="shared" si="13"/>
        <v>136.49100000000001</v>
      </c>
      <c r="F57" s="740">
        <f t="shared" si="14"/>
        <v>157.709</v>
      </c>
      <c r="G57" s="740">
        <f t="shared" si="15"/>
        <v>99.477999999999994</v>
      </c>
      <c r="H57" s="740">
        <f t="shared" si="16"/>
        <v>90.569000000000003</v>
      </c>
      <c r="I57" s="740">
        <f t="shared" si="17"/>
        <v>136.179</v>
      </c>
      <c r="J57" s="740">
        <f t="shared" si="18"/>
        <v>174.178</v>
      </c>
      <c r="K57" s="740">
        <f t="shared" si="19"/>
        <v>143.429</v>
      </c>
      <c r="L57" s="740">
        <f t="shared" si="20"/>
        <v>155.244</v>
      </c>
      <c r="M57" s="741">
        <f t="shared" si="21"/>
        <v>140.435</v>
      </c>
      <c r="N57" s="740"/>
    </row>
    <row r="58" spans="2:14" ht="15" customHeight="1" x14ac:dyDescent="0.2">
      <c r="B58" s="739" t="s">
        <v>294</v>
      </c>
      <c r="C58" s="740">
        <f t="shared" si="11"/>
        <v>148.99799999999999</v>
      </c>
      <c r="D58" s="740">
        <f t="shared" si="12"/>
        <v>175.642</v>
      </c>
      <c r="E58" s="740">
        <f t="shared" si="13"/>
        <v>60.945</v>
      </c>
      <c r="F58" s="740">
        <f t="shared" si="14"/>
        <v>47.072000000000003</v>
      </c>
      <c r="G58" s="740">
        <f t="shared" si="15"/>
        <v>66.308000000000007</v>
      </c>
      <c r="H58" s="740">
        <f t="shared" si="16"/>
        <v>62.664000000000001</v>
      </c>
      <c r="I58" s="740">
        <f t="shared" si="17"/>
        <v>84.242000000000004</v>
      </c>
      <c r="J58" s="740">
        <f t="shared" si="18"/>
        <v>62.595999999999997</v>
      </c>
      <c r="K58" s="740">
        <f t="shared" si="19"/>
        <v>70.582999999999998</v>
      </c>
      <c r="L58" s="740">
        <f t="shared" si="20"/>
        <v>83.888000000000005</v>
      </c>
      <c r="M58" s="741">
        <f t="shared" si="21"/>
        <v>71.281999999999996</v>
      </c>
      <c r="N58" s="740"/>
    </row>
    <row r="59" spans="2:14" ht="15" customHeight="1" x14ac:dyDescent="0.2">
      <c r="B59" s="739" t="s">
        <v>295</v>
      </c>
      <c r="C59" s="740">
        <f t="shared" si="11"/>
        <v>359.38200000000001</v>
      </c>
      <c r="D59" s="740">
        <f t="shared" si="12"/>
        <v>325.99099999999999</v>
      </c>
      <c r="E59" s="740">
        <f t="shared" si="13"/>
        <v>184.98400000000001</v>
      </c>
      <c r="F59" s="740">
        <f t="shared" si="14"/>
        <v>176.03299999999999</v>
      </c>
      <c r="G59" s="740">
        <f t="shared" si="15"/>
        <v>145.39400000000001</v>
      </c>
      <c r="H59" s="740">
        <f t="shared" si="16"/>
        <v>93.040999999999997</v>
      </c>
      <c r="I59" s="740">
        <f t="shared" si="17"/>
        <v>123.294</v>
      </c>
      <c r="J59" s="740">
        <f t="shared" si="18"/>
        <v>157.60499999999999</v>
      </c>
      <c r="K59" s="740">
        <f t="shared" si="19"/>
        <v>138.49700000000001</v>
      </c>
      <c r="L59" s="740">
        <f t="shared" si="20"/>
        <v>148.553</v>
      </c>
      <c r="M59" s="741">
        <f t="shared" si="21"/>
        <v>112.062</v>
      </c>
      <c r="N59" s="740"/>
    </row>
    <row r="60" spans="2:14" ht="15" customHeight="1" thickBot="1" x14ac:dyDescent="0.25">
      <c r="B60" s="742" t="s">
        <v>296</v>
      </c>
      <c r="C60" s="743">
        <f t="shared" si="11"/>
        <v>312.93900000000002</v>
      </c>
      <c r="D60" s="743">
        <f t="shared" si="12"/>
        <v>230.13499999999999</v>
      </c>
      <c r="E60" s="743">
        <f t="shared" si="13"/>
        <v>132.29499999999999</v>
      </c>
      <c r="F60" s="743">
        <f t="shared" si="14"/>
        <v>97.617000000000004</v>
      </c>
      <c r="G60" s="743">
        <f t="shared" si="15"/>
        <v>102.22799999999999</v>
      </c>
      <c r="H60" s="743">
        <f t="shared" si="16"/>
        <v>88.022999999999996</v>
      </c>
      <c r="I60" s="743">
        <f t="shared" si="17"/>
        <v>133.364</v>
      </c>
      <c r="J60" s="743">
        <f t="shared" si="18"/>
        <v>111.53400000000001</v>
      </c>
      <c r="K60" s="743">
        <f t="shared" si="19"/>
        <v>143.5</v>
      </c>
      <c r="L60" s="743">
        <f t="shared" si="20"/>
        <v>123.72199999999999</v>
      </c>
      <c r="M60" s="744">
        <f t="shared" si="21"/>
        <v>151.726</v>
      </c>
      <c r="N60" s="740"/>
    </row>
    <row r="63" spans="2:14" ht="15" customHeight="1" x14ac:dyDescent="0.2">
      <c r="B63" s="1015" t="s">
        <v>105</v>
      </c>
      <c r="C63" s="733" t="s">
        <v>332</v>
      </c>
      <c r="D63" s="733" t="s">
        <v>222</v>
      </c>
      <c r="E63" s="733" t="s">
        <v>225</v>
      </c>
      <c r="F63" s="733" t="s">
        <v>226</v>
      </c>
      <c r="G63" s="733" t="s">
        <v>227</v>
      </c>
      <c r="H63" s="733" t="s">
        <v>228</v>
      </c>
      <c r="I63" s="733" t="s">
        <v>333</v>
      </c>
      <c r="J63" s="733" t="s">
        <v>334</v>
      </c>
      <c r="K63" s="733" t="s">
        <v>231</v>
      </c>
      <c r="L63" s="733" t="s">
        <v>232</v>
      </c>
      <c r="M63" s="733" t="s">
        <v>233</v>
      </c>
      <c r="N63" s="756"/>
    </row>
    <row r="64" spans="2:14" ht="15" customHeight="1" x14ac:dyDescent="0.2">
      <c r="B64" s="1016"/>
      <c r="C64" s="732" t="s">
        <v>486</v>
      </c>
      <c r="D64" s="732" t="s">
        <v>486</v>
      </c>
      <c r="E64" s="732" t="s">
        <v>486</v>
      </c>
      <c r="F64" s="732" t="s">
        <v>486</v>
      </c>
      <c r="G64" s="732" t="s">
        <v>486</v>
      </c>
      <c r="H64" s="732" t="s">
        <v>486</v>
      </c>
      <c r="I64" s="732" t="s">
        <v>486</v>
      </c>
      <c r="J64" s="732" t="s">
        <v>486</v>
      </c>
      <c r="K64" s="732" t="s">
        <v>486</v>
      </c>
      <c r="L64" s="732" t="s">
        <v>486</v>
      </c>
      <c r="M64" s="734" t="s">
        <v>486</v>
      </c>
      <c r="N64" s="757"/>
    </row>
    <row r="65" spans="2:14" ht="30" customHeight="1" thickBot="1" x14ac:dyDescent="0.25">
      <c r="B65" s="1017"/>
      <c r="C65" s="735" t="s">
        <v>326</v>
      </c>
      <c r="D65" s="735" t="s">
        <v>326</v>
      </c>
      <c r="E65" s="735" t="s">
        <v>326</v>
      </c>
      <c r="F65" s="735" t="s">
        <v>326</v>
      </c>
      <c r="G65" s="735" t="s">
        <v>326</v>
      </c>
      <c r="H65" s="735" t="s">
        <v>326</v>
      </c>
      <c r="I65" s="735" t="s">
        <v>326</v>
      </c>
      <c r="J65" s="735" t="s">
        <v>326</v>
      </c>
      <c r="K65" s="735" t="s">
        <v>326</v>
      </c>
      <c r="L65" s="735" t="s">
        <v>326</v>
      </c>
      <c r="M65" s="735" t="s">
        <v>326</v>
      </c>
      <c r="N65" s="758"/>
    </row>
    <row r="66" spans="2:14" ht="15" customHeight="1" x14ac:dyDescent="0.2">
      <c r="B66" s="736" t="s">
        <v>721</v>
      </c>
      <c r="C66" s="737">
        <f>SUM(C6,C26)</f>
        <v>3029.7159999999999</v>
      </c>
      <c r="D66" s="737">
        <f>SUM(D6,E26)</f>
        <v>3311.2719999999999</v>
      </c>
      <c r="E66" s="737">
        <f>SUM(E6,G26)</f>
        <v>3035.2000000000003</v>
      </c>
      <c r="F66" s="737">
        <f>SUM(F6,I26)</f>
        <v>3127.4769999999999</v>
      </c>
      <c r="G66" s="737">
        <f>SUM(G6,K26)</f>
        <v>2999.5310000000004</v>
      </c>
      <c r="H66" s="737">
        <f>SUM(H6,M26)</f>
        <v>2411.8380000000002</v>
      </c>
      <c r="I66" s="737">
        <f>SUM(I6,O26)</f>
        <v>2057.134</v>
      </c>
      <c r="J66" s="737">
        <f>SUM(J6,Q26)</f>
        <v>1665.1779999999999</v>
      </c>
      <c r="K66" s="737">
        <f>SUM(K6,S26)</f>
        <v>1570.7080000000001</v>
      </c>
      <c r="L66" s="737">
        <f>SUM(L6,U26)</f>
        <v>1784.3270000000002</v>
      </c>
      <c r="M66" s="738">
        <f>SUM(M6,W26)</f>
        <v>1527.1390000000001</v>
      </c>
      <c r="N66" s="737"/>
    </row>
    <row r="67" spans="2:14" ht="15" customHeight="1" x14ac:dyDescent="0.2">
      <c r="B67" s="739" t="s">
        <v>286</v>
      </c>
      <c r="C67" s="740">
        <f t="shared" ref="C67:C80" si="22">SUM(C7,C27)</f>
        <v>154.083</v>
      </c>
      <c r="D67" s="740">
        <f t="shared" ref="D67:D80" si="23">SUM(D7,E27)</f>
        <v>168.14400000000001</v>
      </c>
      <c r="E67" s="740">
        <f t="shared" ref="E67:E80" si="24">SUM(E7,G27)</f>
        <v>61.283000000000001</v>
      </c>
      <c r="F67" s="740">
        <f t="shared" ref="F67:F80" si="25">SUM(F7,I27)</f>
        <v>94.674999999999997</v>
      </c>
      <c r="G67" s="740">
        <f t="shared" ref="G67:G80" si="26">SUM(G7,K27)</f>
        <v>42.433999999999997</v>
      </c>
      <c r="H67" s="740">
        <f t="shared" ref="H67:H80" si="27">SUM(H7,M27)</f>
        <v>47.077999999999996</v>
      </c>
      <c r="I67" s="740">
        <f t="shared" ref="I67:I80" si="28">SUM(I7,O27)</f>
        <v>74.31</v>
      </c>
      <c r="J67" s="740">
        <f t="shared" ref="J67:J80" si="29">SUM(J7,Q27)</f>
        <v>103.61099999999999</v>
      </c>
      <c r="K67" s="740">
        <f t="shared" ref="K67:K80" si="30">SUM(K7,S27)</f>
        <v>56.56</v>
      </c>
      <c r="L67" s="740">
        <f t="shared" ref="L67:L80" si="31">SUM(L7,U27)</f>
        <v>64.418999999999997</v>
      </c>
      <c r="M67" s="741">
        <f t="shared" ref="M67:M80" si="32">SUM(M7,W27)</f>
        <v>69.632999999999996</v>
      </c>
      <c r="N67" s="740"/>
    </row>
    <row r="68" spans="2:14" ht="15" customHeight="1" x14ac:dyDescent="0.2">
      <c r="B68" s="739" t="s">
        <v>307</v>
      </c>
      <c r="C68" s="740">
        <f t="shared" si="22"/>
        <v>77.837000000000003</v>
      </c>
      <c r="D68" s="740">
        <f t="shared" si="23"/>
        <v>72.792999999999992</v>
      </c>
      <c r="E68" s="740">
        <f t="shared" si="24"/>
        <v>19.417749999999998</v>
      </c>
      <c r="F68" s="740">
        <f t="shared" si="25"/>
        <v>56.024000000000001</v>
      </c>
      <c r="G68" s="740">
        <f t="shared" si="26"/>
        <v>58.331999999999994</v>
      </c>
      <c r="H68" s="740">
        <f t="shared" si="27"/>
        <v>85.214999999999989</v>
      </c>
      <c r="I68" s="740">
        <f t="shared" si="28"/>
        <v>93.89500000000001</v>
      </c>
      <c r="J68" s="740">
        <f t="shared" si="29"/>
        <v>65.198999999999998</v>
      </c>
      <c r="K68" s="740">
        <f t="shared" si="30"/>
        <v>63.68</v>
      </c>
      <c r="L68" s="740">
        <f t="shared" si="31"/>
        <v>73.151999999999987</v>
      </c>
      <c r="M68" s="741">
        <f t="shared" si="32"/>
        <v>94.02</v>
      </c>
      <c r="N68" s="740"/>
    </row>
    <row r="69" spans="2:14" ht="15" customHeight="1" x14ac:dyDescent="0.2">
      <c r="B69" s="739" t="s">
        <v>287</v>
      </c>
      <c r="C69" s="740">
        <f t="shared" si="22"/>
        <v>152.55099999999999</v>
      </c>
      <c r="D69" s="740">
        <f t="shared" si="23"/>
        <v>119.175</v>
      </c>
      <c r="E69" s="740">
        <f t="shared" si="24"/>
        <v>97.507000000000005</v>
      </c>
      <c r="F69" s="740">
        <f t="shared" si="25"/>
        <v>49.859000000000002</v>
      </c>
      <c r="G69" s="740">
        <f t="shared" si="26"/>
        <v>111.74000000000001</v>
      </c>
      <c r="H69" s="740">
        <f t="shared" si="27"/>
        <v>68.575000000000003</v>
      </c>
      <c r="I69" s="740">
        <f t="shared" si="28"/>
        <v>76.874000000000009</v>
      </c>
      <c r="J69" s="740">
        <f t="shared" si="29"/>
        <v>75.61099999999999</v>
      </c>
      <c r="K69" s="740">
        <f t="shared" si="30"/>
        <v>72.819000000000003</v>
      </c>
      <c r="L69" s="740">
        <f t="shared" si="31"/>
        <v>80.096999999999994</v>
      </c>
      <c r="M69" s="741">
        <f t="shared" si="32"/>
        <v>103.14399999999999</v>
      </c>
      <c r="N69" s="740"/>
    </row>
    <row r="70" spans="2:14" ht="15" customHeight="1" x14ac:dyDescent="0.2">
      <c r="B70" s="739" t="s">
        <v>288</v>
      </c>
      <c r="C70" s="740">
        <f t="shared" si="22"/>
        <v>148.81800000000001</v>
      </c>
      <c r="D70" s="740">
        <f t="shared" si="23"/>
        <v>111.914</v>
      </c>
      <c r="E70" s="740">
        <f t="shared" si="24"/>
        <v>78.301000000000002</v>
      </c>
      <c r="F70" s="740">
        <f t="shared" si="25"/>
        <v>81.638999999999996</v>
      </c>
      <c r="G70" s="740">
        <f t="shared" si="26"/>
        <v>64.478000000000009</v>
      </c>
      <c r="H70" s="740">
        <f t="shared" si="27"/>
        <v>34.06</v>
      </c>
      <c r="I70" s="740">
        <f t="shared" si="28"/>
        <v>62.239999999999995</v>
      </c>
      <c r="J70" s="740">
        <f t="shared" si="29"/>
        <v>71.131</v>
      </c>
      <c r="K70" s="740">
        <f t="shared" si="30"/>
        <v>55.271000000000001</v>
      </c>
      <c r="L70" s="740">
        <f t="shared" si="31"/>
        <v>63.895000000000003</v>
      </c>
      <c r="M70" s="741">
        <f t="shared" si="32"/>
        <v>68.736999999999995</v>
      </c>
      <c r="N70" s="740"/>
    </row>
    <row r="71" spans="2:14" ht="15" customHeight="1" x14ac:dyDescent="0.2">
      <c r="B71" s="739" t="s">
        <v>305</v>
      </c>
      <c r="C71" s="740">
        <f t="shared" si="22"/>
        <v>240.24800000000002</v>
      </c>
      <c r="D71" s="740">
        <f t="shared" si="23"/>
        <v>116.09699999999999</v>
      </c>
      <c r="E71" s="740">
        <f t="shared" si="24"/>
        <v>26.32</v>
      </c>
      <c r="F71" s="740">
        <f t="shared" si="25"/>
        <v>43.794999999999995</v>
      </c>
      <c r="G71" s="740">
        <f t="shared" si="26"/>
        <v>35.230999999999995</v>
      </c>
      <c r="H71" s="740">
        <f t="shared" si="27"/>
        <v>36.629000000000005</v>
      </c>
      <c r="I71" s="740">
        <f t="shared" si="28"/>
        <v>37.207000000000001</v>
      </c>
      <c r="J71" s="740">
        <f t="shared" si="29"/>
        <v>50.072000000000003</v>
      </c>
      <c r="K71" s="740">
        <f t="shared" si="30"/>
        <v>60.500999999999998</v>
      </c>
      <c r="L71" s="740">
        <f t="shared" si="31"/>
        <v>64.99799999999999</v>
      </c>
      <c r="M71" s="741">
        <f t="shared" si="32"/>
        <v>78.472999999999999</v>
      </c>
      <c r="N71" s="740"/>
    </row>
    <row r="72" spans="2:14" ht="15" customHeight="1" x14ac:dyDescent="0.2">
      <c r="B72" s="739" t="s">
        <v>289</v>
      </c>
      <c r="C72" s="740">
        <f t="shared" si="22"/>
        <v>63.679000000000002</v>
      </c>
      <c r="D72" s="740">
        <f t="shared" si="23"/>
        <v>48.600999999999999</v>
      </c>
      <c r="E72" s="740">
        <f t="shared" si="24"/>
        <v>21.241</v>
      </c>
      <c r="F72" s="740">
        <f t="shared" si="25"/>
        <v>20.470000000000002</v>
      </c>
      <c r="G72" s="740">
        <f t="shared" si="26"/>
        <v>17.227999999999998</v>
      </c>
      <c r="H72" s="740">
        <f t="shared" si="27"/>
        <v>27.87</v>
      </c>
      <c r="I72" s="740">
        <f t="shared" si="28"/>
        <v>22.673999999999999</v>
      </c>
      <c r="J72" s="740">
        <f t="shared" si="29"/>
        <v>22.911000000000001</v>
      </c>
      <c r="K72" s="740">
        <f t="shared" si="30"/>
        <v>49.941000000000003</v>
      </c>
      <c r="L72" s="740">
        <f t="shared" si="31"/>
        <v>22.327999999999999</v>
      </c>
      <c r="M72" s="741">
        <f t="shared" si="32"/>
        <v>26.382999999999999</v>
      </c>
      <c r="N72" s="740"/>
    </row>
    <row r="73" spans="2:14" ht="15" customHeight="1" x14ac:dyDescent="0.2">
      <c r="B73" s="739" t="s">
        <v>306</v>
      </c>
      <c r="C73" s="740">
        <f t="shared" si="22"/>
        <v>176.208</v>
      </c>
      <c r="D73" s="740">
        <f t="shared" si="23"/>
        <v>182.85500000000002</v>
      </c>
      <c r="E73" s="740">
        <f t="shared" si="24"/>
        <v>155.125</v>
      </c>
      <c r="F73" s="740">
        <f t="shared" si="25"/>
        <v>139.053</v>
      </c>
      <c r="G73" s="740">
        <f t="shared" si="26"/>
        <v>113.339</v>
      </c>
      <c r="H73" s="740">
        <f t="shared" si="27"/>
        <v>105.842</v>
      </c>
      <c r="I73" s="740">
        <f t="shared" si="28"/>
        <v>128.208</v>
      </c>
      <c r="J73" s="740">
        <f t="shared" si="29"/>
        <v>121.752</v>
      </c>
      <c r="K73" s="740">
        <f t="shared" si="30"/>
        <v>210.87</v>
      </c>
      <c r="L73" s="740">
        <f t="shared" si="31"/>
        <v>133.04599999999999</v>
      </c>
      <c r="M73" s="741">
        <f t="shared" si="32"/>
        <v>190.66899999999998</v>
      </c>
      <c r="N73" s="740"/>
    </row>
    <row r="74" spans="2:14" ht="15" customHeight="1" x14ac:dyDescent="0.2">
      <c r="B74" s="739" t="s">
        <v>290</v>
      </c>
      <c r="C74" s="740">
        <f t="shared" si="22"/>
        <v>175.05800000000002</v>
      </c>
      <c r="D74" s="740">
        <f t="shared" si="23"/>
        <v>107.04600000000001</v>
      </c>
      <c r="E74" s="740">
        <f t="shared" si="24"/>
        <v>62.151000000000003</v>
      </c>
      <c r="F74" s="740">
        <f t="shared" si="25"/>
        <v>35.811</v>
      </c>
      <c r="G74" s="740">
        <f t="shared" si="26"/>
        <v>42.633000000000003</v>
      </c>
      <c r="H74" s="740">
        <f t="shared" si="27"/>
        <v>60.931000000000004</v>
      </c>
      <c r="I74" s="740">
        <f t="shared" si="28"/>
        <v>72.474999999999994</v>
      </c>
      <c r="J74" s="740">
        <f t="shared" si="29"/>
        <v>54.252000000000002</v>
      </c>
      <c r="K74" s="740">
        <f t="shared" si="30"/>
        <v>76.914999999999992</v>
      </c>
      <c r="L74" s="740">
        <f t="shared" si="31"/>
        <v>57.101999999999997</v>
      </c>
      <c r="M74" s="741">
        <f t="shared" si="32"/>
        <v>75.316000000000003</v>
      </c>
      <c r="N74" s="740"/>
    </row>
    <row r="75" spans="2:14" ht="15" customHeight="1" x14ac:dyDescent="0.2">
      <c r="B75" s="739" t="s">
        <v>291</v>
      </c>
      <c r="C75" s="740">
        <f t="shared" si="22"/>
        <v>111.84400000000001</v>
      </c>
      <c r="D75" s="740">
        <f t="shared" si="23"/>
        <v>84.491</v>
      </c>
      <c r="E75" s="740">
        <f t="shared" si="24"/>
        <v>50.261000000000003</v>
      </c>
      <c r="F75" s="740">
        <f t="shared" si="25"/>
        <v>58.841000000000001</v>
      </c>
      <c r="G75" s="740">
        <f t="shared" si="26"/>
        <v>47.954999999999998</v>
      </c>
      <c r="H75" s="740">
        <f t="shared" si="27"/>
        <v>34.286999999999999</v>
      </c>
      <c r="I75" s="740">
        <f t="shared" si="28"/>
        <v>78.381</v>
      </c>
      <c r="J75" s="740">
        <f t="shared" si="29"/>
        <v>53.346000000000004</v>
      </c>
      <c r="K75" s="740">
        <f t="shared" si="30"/>
        <v>54.328000000000003</v>
      </c>
      <c r="L75" s="740">
        <f t="shared" si="31"/>
        <v>63.594999999999999</v>
      </c>
      <c r="M75" s="741">
        <f t="shared" si="32"/>
        <v>76.304999999999993</v>
      </c>
      <c r="N75" s="740"/>
    </row>
    <row r="76" spans="2:14" ht="15" customHeight="1" x14ac:dyDescent="0.2">
      <c r="B76" s="739" t="s">
        <v>292</v>
      </c>
      <c r="C76" s="740">
        <f t="shared" si="22"/>
        <v>243.07000000000002</v>
      </c>
      <c r="D76" s="740">
        <f t="shared" si="23"/>
        <v>211.977</v>
      </c>
      <c r="E76" s="740">
        <f t="shared" si="24"/>
        <v>111.328</v>
      </c>
      <c r="F76" s="740">
        <f t="shared" si="25"/>
        <v>85.653999999999996</v>
      </c>
      <c r="G76" s="740">
        <f t="shared" si="26"/>
        <v>106.614</v>
      </c>
      <c r="H76" s="740">
        <f t="shared" si="27"/>
        <v>137.148</v>
      </c>
      <c r="I76" s="740">
        <f t="shared" si="28"/>
        <v>161.286</v>
      </c>
      <c r="J76" s="740">
        <f t="shared" si="29"/>
        <v>122.19200000000001</v>
      </c>
      <c r="K76" s="740">
        <f t="shared" si="30"/>
        <v>145.25</v>
      </c>
      <c r="L76" s="740">
        <f t="shared" si="31"/>
        <v>173.04600000000002</v>
      </c>
      <c r="M76" s="741">
        <f t="shared" si="32"/>
        <v>128.34299999999999</v>
      </c>
      <c r="N76" s="740"/>
    </row>
    <row r="77" spans="2:14" ht="15" customHeight="1" x14ac:dyDescent="0.2">
      <c r="B77" s="739" t="s">
        <v>293</v>
      </c>
      <c r="C77" s="740">
        <f t="shared" si="22"/>
        <v>272.59500000000003</v>
      </c>
      <c r="D77" s="740">
        <f t="shared" si="23"/>
        <v>253.524</v>
      </c>
      <c r="E77" s="740">
        <f t="shared" si="24"/>
        <v>137.01000000000002</v>
      </c>
      <c r="F77" s="740">
        <f t="shared" si="25"/>
        <v>158.29599999999999</v>
      </c>
      <c r="G77" s="740">
        <f t="shared" si="26"/>
        <v>101.146</v>
      </c>
      <c r="H77" s="740">
        <f t="shared" si="27"/>
        <v>106.694</v>
      </c>
      <c r="I77" s="740">
        <f t="shared" si="28"/>
        <v>142.38</v>
      </c>
      <c r="J77" s="740">
        <f t="shared" si="29"/>
        <v>175.79900000000001</v>
      </c>
      <c r="K77" s="740">
        <f t="shared" si="30"/>
        <v>148.55700000000002</v>
      </c>
      <c r="L77" s="740">
        <f t="shared" si="31"/>
        <v>157.916</v>
      </c>
      <c r="M77" s="741">
        <f t="shared" si="32"/>
        <v>146.797</v>
      </c>
      <c r="N77" s="740"/>
    </row>
    <row r="78" spans="2:14" ht="15" customHeight="1" x14ac:dyDescent="0.2">
      <c r="B78" s="739" t="s">
        <v>294</v>
      </c>
      <c r="C78" s="740">
        <f t="shared" si="22"/>
        <v>168.03399999999999</v>
      </c>
      <c r="D78" s="740">
        <f t="shared" si="23"/>
        <v>181.57900000000001</v>
      </c>
      <c r="E78" s="740">
        <f t="shared" si="24"/>
        <v>76.905000000000001</v>
      </c>
      <c r="F78" s="740">
        <f t="shared" si="25"/>
        <v>55.585999999999999</v>
      </c>
      <c r="G78" s="740">
        <f t="shared" si="26"/>
        <v>84.93</v>
      </c>
      <c r="H78" s="740">
        <f t="shared" si="27"/>
        <v>73.534000000000006</v>
      </c>
      <c r="I78" s="740">
        <f t="shared" si="28"/>
        <v>107.80600000000001</v>
      </c>
      <c r="J78" s="740">
        <f t="shared" si="29"/>
        <v>78.442999999999998</v>
      </c>
      <c r="K78" s="740">
        <f t="shared" si="30"/>
        <v>89.600999999999999</v>
      </c>
      <c r="L78" s="740">
        <f t="shared" si="31"/>
        <v>96.02600000000001</v>
      </c>
      <c r="M78" s="741">
        <f t="shared" si="32"/>
        <v>93.924999999999997</v>
      </c>
      <c r="N78" s="740"/>
    </row>
    <row r="79" spans="2:14" ht="15" customHeight="1" x14ac:dyDescent="0.2">
      <c r="B79" s="739" t="s">
        <v>295</v>
      </c>
      <c r="C79" s="740">
        <f t="shared" si="22"/>
        <v>382.39499999999998</v>
      </c>
      <c r="D79" s="740">
        <f t="shared" si="23"/>
        <v>341.75</v>
      </c>
      <c r="E79" s="740">
        <f t="shared" si="24"/>
        <v>214.59399999999999</v>
      </c>
      <c r="F79" s="740">
        <f t="shared" si="25"/>
        <v>194.14599999999999</v>
      </c>
      <c r="G79" s="740">
        <f t="shared" si="26"/>
        <v>163.80799999999999</v>
      </c>
      <c r="H79" s="740">
        <f t="shared" si="27"/>
        <v>111.098</v>
      </c>
      <c r="I79" s="740">
        <f t="shared" si="28"/>
        <v>168.40600000000001</v>
      </c>
      <c r="J79" s="740">
        <f t="shared" si="29"/>
        <v>185.90899999999999</v>
      </c>
      <c r="K79" s="740">
        <f t="shared" si="30"/>
        <v>167.06300000000002</v>
      </c>
      <c r="L79" s="740">
        <f t="shared" si="31"/>
        <v>178.15600000000001</v>
      </c>
      <c r="M79" s="741">
        <f t="shared" si="32"/>
        <v>148.85899999999998</v>
      </c>
      <c r="N79" s="740"/>
    </row>
    <row r="80" spans="2:14" ht="15" customHeight="1" thickBot="1" x14ac:dyDescent="0.25">
      <c r="B80" s="742" t="s">
        <v>296</v>
      </c>
      <c r="C80" s="743">
        <f t="shared" si="22"/>
        <v>316.392</v>
      </c>
      <c r="D80" s="743">
        <f t="shared" si="23"/>
        <v>233.22</v>
      </c>
      <c r="E80" s="743">
        <f t="shared" si="24"/>
        <v>136.321</v>
      </c>
      <c r="F80" s="743">
        <f t="shared" si="25"/>
        <v>100.10900000000001</v>
      </c>
      <c r="G80" s="743">
        <f t="shared" si="26"/>
        <v>106.274</v>
      </c>
      <c r="H80" s="743">
        <f t="shared" si="27"/>
        <v>91.842999999999989</v>
      </c>
      <c r="I80" s="743">
        <f t="shared" si="28"/>
        <v>138.32400000000001</v>
      </c>
      <c r="J80" s="743">
        <f t="shared" si="29"/>
        <v>115.71700000000001</v>
      </c>
      <c r="K80" s="743">
        <f t="shared" si="30"/>
        <v>148.548</v>
      </c>
      <c r="L80" s="743">
        <f t="shared" si="31"/>
        <v>132.68099999999998</v>
      </c>
      <c r="M80" s="744">
        <f t="shared" si="32"/>
        <v>156.91300000000001</v>
      </c>
      <c r="N80" s="740"/>
    </row>
  </sheetData>
  <mergeCells count="26">
    <mergeCell ref="Q23:R23"/>
    <mergeCell ref="S23:T23"/>
    <mergeCell ref="U23:V23"/>
    <mergeCell ref="B3:B5"/>
    <mergeCell ref="B23:B25"/>
    <mergeCell ref="C23:D23"/>
    <mergeCell ref="E23:F23"/>
    <mergeCell ref="G23:H23"/>
    <mergeCell ref="I23:J23"/>
    <mergeCell ref="U24:V24"/>
    <mergeCell ref="W24:X24"/>
    <mergeCell ref="B43:B45"/>
    <mergeCell ref="B63:B65"/>
    <mergeCell ref="W23:X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K23:L23"/>
    <mergeCell ref="M23:N23"/>
    <mergeCell ref="O23:P2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3:U39"/>
  <sheetViews>
    <sheetView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17" width="10.625" style="23" customWidth="1"/>
    <col min="18" max="18" width="13.125" style="23" customWidth="1"/>
    <col min="19" max="20" width="10.625" style="23" customWidth="1"/>
    <col min="21" max="21" width="14.75" style="23" customWidth="1"/>
    <col min="22" max="16384" width="9" style="23"/>
  </cols>
  <sheetData>
    <row r="3" spans="2:21" ht="38.25" customHeight="1" x14ac:dyDescent="0.2">
      <c r="B3" s="1022" t="s">
        <v>657</v>
      </c>
      <c r="C3" s="1023"/>
      <c r="D3" s="1023"/>
      <c r="E3" s="1023"/>
      <c r="F3" s="1023"/>
      <c r="G3" s="1023"/>
      <c r="I3" s="1022" t="s">
        <v>659</v>
      </c>
      <c r="J3" s="1023"/>
      <c r="K3" s="1023"/>
      <c r="L3" s="1023"/>
      <c r="M3" s="1023"/>
      <c r="N3" s="1023"/>
      <c r="P3" s="1022" t="s">
        <v>658</v>
      </c>
      <c r="Q3" s="1023"/>
      <c r="R3" s="1023"/>
      <c r="S3" s="1023"/>
      <c r="T3" s="1023"/>
      <c r="U3" s="1023"/>
    </row>
    <row r="4" spans="2:21" ht="13.5" thickBot="1" x14ac:dyDescent="0.25">
      <c r="B4" s="454"/>
      <c r="C4" s="454" t="s">
        <v>78</v>
      </c>
      <c r="D4" s="454" t="s">
        <v>309</v>
      </c>
      <c r="E4" s="466" t="s">
        <v>82</v>
      </c>
      <c r="F4" s="454" t="s">
        <v>310</v>
      </c>
      <c r="G4" s="454" t="s">
        <v>486</v>
      </c>
      <c r="I4" s="454"/>
      <c r="J4" s="454" t="s">
        <v>78</v>
      </c>
      <c r="K4" s="454" t="s">
        <v>309</v>
      </c>
      <c r="L4" s="466" t="s">
        <v>82</v>
      </c>
      <c r="M4" s="454" t="s">
        <v>310</v>
      </c>
      <c r="N4" s="454" t="s">
        <v>486</v>
      </c>
      <c r="P4" s="454"/>
      <c r="Q4" s="454" t="s">
        <v>78</v>
      </c>
      <c r="R4" s="454" t="s">
        <v>309</v>
      </c>
      <c r="S4" s="466" t="s">
        <v>82</v>
      </c>
      <c r="T4" s="454" t="s">
        <v>310</v>
      </c>
      <c r="U4" s="454" t="s">
        <v>486</v>
      </c>
    </row>
    <row r="5" spans="2:21" x14ac:dyDescent="0.2">
      <c r="B5" s="347" t="s">
        <v>106</v>
      </c>
      <c r="C5" s="348">
        <v>181.2</v>
      </c>
      <c r="D5" s="348">
        <v>1016.37209</v>
      </c>
      <c r="E5" s="467">
        <v>0.6</v>
      </c>
      <c r="F5" s="470">
        <f>D5*E5/100</f>
        <v>6.0982325399999988</v>
      </c>
      <c r="G5" s="471">
        <f>C5+D5</f>
        <v>1197.5720899999999</v>
      </c>
      <c r="I5" s="347" t="s">
        <v>106</v>
      </c>
      <c r="J5" s="348">
        <v>35136.934000000001</v>
      </c>
      <c r="K5" s="348">
        <v>232722.22099999999</v>
      </c>
      <c r="L5" s="467">
        <v>1.3249205983688215</v>
      </c>
      <c r="M5" s="470">
        <f>K5*L5/100</f>
        <v>3083.3846430104109</v>
      </c>
      <c r="N5" s="471">
        <f>J5+K5</f>
        <v>267859.15499999997</v>
      </c>
      <c r="P5" s="347" t="s">
        <v>106</v>
      </c>
      <c r="Q5" s="348">
        <v>207905.27900000001</v>
      </c>
      <c r="R5" s="348">
        <v>1139545.4410000001</v>
      </c>
      <c r="S5" s="467">
        <v>1.2114807274468335</v>
      </c>
      <c r="T5" s="470">
        <f>R5*S5/100</f>
        <v>13805.373398214029</v>
      </c>
      <c r="U5" s="471">
        <f>Q5+R5</f>
        <v>1347450.7200000002</v>
      </c>
    </row>
    <row r="6" spans="2:21" x14ac:dyDescent="0.2">
      <c r="B6" s="349" t="s">
        <v>92</v>
      </c>
      <c r="C6" s="346">
        <v>127.5</v>
      </c>
      <c r="D6" s="346">
        <v>177.55427</v>
      </c>
      <c r="E6" s="468">
        <v>1.8</v>
      </c>
      <c r="F6" s="472">
        <f>D6*E6/100</f>
        <v>3.19597686</v>
      </c>
      <c r="G6" s="473">
        <f>C6+D6</f>
        <v>305.05426999999997</v>
      </c>
      <c r="I6" s="349" t="s">
        <v>92</v>
      </c>
      <c r="J6" s="346">
        <v>26375.967000000001</v>
      </c>
      <c r="K6" s="346">
        <v>63619.548999999999</v>
      </c>
      <c r="L6" s="468">
        <v>2.44942320338764</v>
      </c>
      <c r="M6" s="472">
        <f>K6*L6/100</f>
        <v>1558.3119950965693</v>
      </c>
      <c r="N6" s="473">
        <f>J6+K6</f>
        <v>89995.516000000003</v>
      </c>
      <c r="P6" s="349" t="s">
        <v>92</v>
      </c>
      <c r="Q6" s="346">
        <v>149700.77499999999</v>
      </c>
      <c r="R6" s="346">
        <v>155504.29199999999</v>
      </c>
      <c r="S6" s="468">
        <v>2.9411401766810834</v>
      </c>
      <c r="T6" s="472">
        <f>R6*S6/100</f>
        <v>4573.599208475468</v>
      </c>
      <c r="U6" s="473">
        <f>Q6+R6</f>
        <v>305205.06699999998</v>
      </c>
    </row>
    <row r="7" spans="2:21" x14ac:dyDescent="0.2">
      <c r="B7" s="350" t="s">
        <v>105</v>
      </c>
      <c r="C7" s="346">
        <v>53.7</v>
      </c>
      <c r="D7" s="346">
        <v>838.83070999999995</v>
      </c>
      <c r="E7" s="468">
        <v>0.8</v>
      </c>
      <c r="F7" s="472">
        <f>D7*E7/100</f>
        <v>6.7106456799999998</v>
      </c>
      <c r="G7" s="473">
        <f>C7+D7</f>
        <v>892.53071</v>
      </c>
      <c r="I7" s="350" t="s">
        <v>105</v>
      </c>
      <c r="J7" s="346">
        <v>8760.9670000000006</v>
      </c>
      <c r="K7" s="346">
        <v>169181.13</v>
      </c>
      <c r="L7" s="468">
        <v>1.6188044985800498</v>
      </c>
      <c r="M7" s="472">
        <f>K7*L7/100</f>
        <v>2738.7117431885622</v>
      </c>
      <c r="N7" s="473">
        <f>J7+K7</f>
        <v>177942.09700000001</v>
      </c>
      <c r="P7" s="350" t="s">
        <v>105</v>
      </c>
      <c r="Q7" s="346">
        <v>58204.506999999998</v>
      </c>
      <c r="R7" s="346">
        <v>983274.19900000002</v>
      </c>
      <c r="S7" s="468">
        <v>1.365053762885452</v>
      </c>
      <c r="T7" s="472">
        <f>R7*S7/100</f>
        <v>13422.221452931286</v>
      </c>
      <c r="U7" s="473">
        <f>Q7+R7</f>
        <v>1041478.706</v>
      </c>
    </row>
    <row r="8" spans="2:21" ht="13.5" thickBot="1" x14ac:dyDescent="0.25">
      <c r="B8" s="351" t="s">
        <v>97</v>
      </c>
      <c r="C8" s="352">
        <v>2.9</v>
      </c>
      <c r="D8" s="352">
        <v>117.6</v>
      </c>
      <c r="E8" s="469">
        <v>2.7</v>
      </c>
      <c r="F8" s="474">
        <f>D8*E8/100</f>
        <v>3.1751999999999998</v>
      </c>
      <c r="G8" s="475">
        <f>C8+D8</f>
        <v>120.5</v>
      </c>
      <c r="I8" s="351" t="s">
        <v>97</v>
      </c>
      <c r="J8" s="352">
        <v>417.30799999999999</v>
      </c>
      <c r="K8" s="352">
        <v>29304.577000000001</v>
      </c>
      <c r="L8" s="469">
        <v>4.1090444887909863</v>
      </c>
      <c r="M8" s="474">
        <f>K8*L8/100</f>
        <v>1204.1381061820109</v>
      </c>
      <c r="N8" s="475">
        <f>J8+K8</f>
        <v>29721.885000000002</v>
      </c>
      <c r="P8" s="351" t="s">
        <v>97</v>
      </c>
      <c r="Q8" s="352">
        <v>3084.7159999999999</v>
      </c>
      <c r="R8" s="352">
        <v>112496.57399999999</v>
      </c>
      <c r="S8" s="469">
        <v>3.5417574645529024</v>
      </c>
      <c r="T8" s="474">
        <f>R8*S8/100</f>
        <v>3984.3558070112795</v>
      </c>
      <c r="U8" s="475">
        <f>Q8+R8</f>
        <v>115581.29</v>
      </c>
    </row>
    <row r="11" spans="2:21" ht="38.25" customHeight="1" x14ac:dyDescent="0.2">
      <c r="B11" s="1022" t="s">
        <v>680</v>
      </c>
      <c r="C11" s="1023"/>
      <c r="D11" s="1023"/>
      <c r="E11" s="1023"/>
      <c r="F11" s="1023"/>
      <c r="G11" s="1023"/>
      <c r="I11" s="1022" t="s">
        <v>681</v>
      </c>
      <c r="J11" s="1023"/>
      <c r="K11" s="1023"/>
      <c r="L11" s="1023"/>
      <c r="M11" s="1023"/>
      <c r="N11" s="1023"/>
      <c r="P11" s="1022" t="s">
        <v>682</v>
      </c>
      <c r="Q11" s="1023"/>
      <c r="R11" s="1023"/>
      <c r="S11" s="1023"/>
      <c r="T11" s="1023"/>
      <c r="U11" s="1023"/>
    </row>
    <row r="12" spans="2:21" ht="13.5" thickBot="1" x14ac:dyDescent="0.25">
      <c r="B12" s="454"/>
      <c r="C12" s="454" t="s">
        <v>78</v>
      </c>
      <c r="D12" s="454" t="s">
        <v>309</v>
      </c>
      <c r="E12" s="466" t="s">
        <v>82</v>
      </c>
      <c r="F12" s="454" t="s">
        <v>310</v>
      </c>
      <c r="G12" s="454" t="s">
        <v>486</v>
      </c>
      <c r="I12" s="454"/>
      <c r="J12" s="454" t="s">
        <v>78</v>
      </c>
      <c r="K12" s="454" t="s">
        <v>309</v>
      </c>
      <c r="L12" s="466" t="s">
        <v>82</v>
      </c>
      <c r="M12" s="454" t="s">
        <v>310</v>
      </c>
      <c r="N12" s="454" t="s">
        <v>486</v>
      </c>
      <c r="P12" s="454"/>
      <c r="Q12" s="454" t="s">
        <v>78</v>
      </c>
      <c r="R12" s="454" t="s">
        <v>309</v>
      </c>
      <c r="S12" s="466" t="s">
        <v>82</v>
      </c>
      <c r="T12" s="454" t="s">
        <v>310</v>
      </c>
      <c r="U12" s="454" t="s">
        <v>486</v>
      </c>
    </row>
    <row r="13" spans="2:21" x14ac:dyDescent="0.2">
      <c r="B13" s="347" t="s">
        <v>119</v>
      </c>
      <c r="C13" s="348">
        <v>0.1996</v>
      </c>
      <c r="D13" s="348">
        <v>14.826370000000001</v>
      </c>
      <c r="E13" s="467">
        <v>6.8243222314565894</v>
      </c>
      <c r="F13" s="470">
        <f t="shared" ref="F13:F19" si="0">D13*E13/100</f>
        <v>1.0117992640280105</v>
      </c>
      <c r="G13" s="471">
        <f t="shared" ref="G13:G19" si="1">C13+D13</f>
        <v>15.025970000000001</v>
      </c>
      <c r="I13" s="347" t="s">
        <v>119</v>
      </c>
      <c r="J13" s="348">
        <v>3.1E-2</v>
      </c>
      <c r="K13" s="348">
        <v>28.028749999999999</v>
      </c>
      <c r="L13" s="467">
        <v>20.335545581444944</v>
      </c>
      <c r="M13" s="470">
        <f t="shared" ref="M13:M19" si="2">K13*L13/100</f>
        <v>5.6997992321592497</v>
      </c>
      <c r="N13" s="471">
        <f t="shared" ref="N13:N19" si="3">J13+K13</f>
        <v>28.059749999999998</v>
      </c>
      <c r="P13" s="347" t="s">
        <v>119</v>
      </c>
      <c r="Q13" s="348">
        <v>24.785</v>
      </c>
      <c r="R13" s="348">
        <v>4829.777</v>
      </c>
      <c r="S13" s="467">
        <v>16.672604486048293</v>
      </c>
      <c r="T13" s="470">
        <f t="shared" ref="T13:T19" si="4">R13*S13/100</f>
        <v>805.24961676812859</v>
      </c>
      <c r="U13" s="471">
        <f t="shared" ref="U13:U19" si="5">Q13+R13</f>
        <v>4854.5619999999999</v>
      </c>
    </row>
    <row r="14" spans="2:21" x14ac:dyDescent="0.2">
      <c r="B14" s="349" t="s">
        <v>120</v>
      </c>
      <c r="C14" s="346">
        <v>0.21994999999999998</v>
      </c>
      <c r="D14" s="346">
        <v>17.38409</v>
      </c>
      <c r="E14" s="468">
        <v>7.3610522279005357</v>
      </c>
      <c r="F14" s="472">
        <f t="shared" si="0"/>
        <v>1.2796519442452343</v>
      </c>
      <c r="G14" s="473">
        <f t="shared" si="1"/>
        <v>17.604040000000001</v>
      </c>
      <c r="I14" s="349" t="s">
        <v>120</v>
      </c>
      <c r="J14" s="346">
        <v>2.528</v>
      </c>
      <c r="K14" s="346">
        <v>814.87194</v>
      </c>
      <c r="L14" s="468">
        <v>11.794961392862588</v>
      </c>
      <c r="M14" s="472">
        <f t="shared" si="2"/>
        <v>96.113830724270386</v>
      </c>
      <c r="N14" s="473">
        <f t="shared" si="3"/>
        <v>817.39994000000002</v>
      </c>
      <c r="P14" s="349" t="s">
        <v>120</v>
      </c>
      <c r="Q14" s="346">
        <v>373.767</v>
      </c>
      <c r="R14" s="346">
        <v>36976.103000000003</v>
      </c>
      <c r="S14" s="468">
        <v>6.9506576567806952</v>
      </c>
      <c r="T14" s="472">
        <f t="shared" si="4"/>
        <v>2570.0823343486163</v>
      </c>
      <c r="U14" s="473">
        <f t="shared" si="5"/>
        <v>37349.870000000003</v>
      </c>
    </row>
    <row r="15" spans="2:21" x14ac:dyDescent="0.2">
      <c r="B15" s="350" t="s">
        <v>121</v>
      </c>
      <c r="C15" s="346">
        <v>0.21438000000000001</v>
      </c>
      <c r="D15" s="346">
        <v>24.32687</v>
      </c>
      <c r="E15" s="468">
        <v>5.0280527847704661</v>
      </c>
      <c r="F15" s="472">
        <f t="shared" si="0"/>
        <v>1.223167864482491</v>
      </c>
      <c r="G15" s="473">
        <f t="shared" si="1"/>
        <v>24.541249999999998</v>
      </c>
      <c r="I15" s="350" t="s">
        <v>121</v>
      </c>
      <c r="J15" s="346">
        <v>20.507999999999999</v>
      </c>
      <c r="K15" s="346">
        <v>3511.54792</v>
      </c>
      <c r="L15" s="468">
        <v>6.5211645403459997</v>
      </c>
      <c r="M15" s="472">
        <f t="shared" si="2"/>
        <v>228.9938177762975</v>
      </c>
      <c r="N15" s="473">
        <f t="shared" si="3"/>
        <v>3532.0559199999998</v>
      </c>
      <c r="P15" s="350" t="s">
        <v>121</v>
      </c>
      <c r="Q15" s="346">
        <v>420.18799999999999</v>
      </c>
      <c r="R15" s="346">
        <v>35587.614000000001</v>
      </c>
      <c r="S15" s="468">
        <v>5.9666299215506609</v>
      </c>
      <c r="T15" s="472">
        <f t="shared" si="4"/>
        <v>2123.381225289952</v>
      </c>
      <c r="U15" s="473">
        <f t="shared" si="5"/>
        <v>36007.802000000003</v>
      </c>
    </row>
    <row r="16" spans="2:21" x14ac:dyDescent="0.2">
      <c r="B16" s="350" t="s">
        <v>122</v>
      </c>
      <c r="C16" s="346">
        <v>0.87028000000000005</v>
      </c>
      <c r="D16" s="346">
        <v>23.588710000000003</v>
      </c>
      <c r="E16" s="468">
        <v>6.1877634292655497</v>
      </c>
      <c r="F16" s="472">
        <f t="shared" si="0"/>
        <v>1.4596135708155058</v>
      </c>
      <c r="G16" s="473">
        <f t="shared" si="1"/>
        <v>24.458990000000004</v>
      </c>
      <c r="I16" s="350" t="s">
        <v>122</v>
      </c>
      <c r="J16" s="346">
        <v>134.38800000000001</v>
      </c>
      <c r="K16" s="346">
        <v>6234.1544299999996</v>
      </c>
      <c r="L16" s="468">
        <v>7.05523710716969</v>
      </c>
      <c r="M16" s="472">
        <f t="shared" si="2"/>
        <v>439.83437666362306</v>
      </c>
      <c r="N16" s="473">
        <f t="shared" si="3"/>
        <v>6368.5424299999995</v>
      </c>
      <c r="P16" s="350" t="s">
        <v>122</v>
      </c>
      <c r="Q16" s="346">
        <v>1024.1659999999999</v>
      </c>
      <c r="R16" s="346">
        <v>18591.525000000001</v>
      </c>
      <c r="S16" s="468">
        <v>7.4151118219271925</v>
      </c>
      <c r="T16" s="472">
        <f t="shared" si="4"/>
        <v>1378.5823681515496</v>
      </c>
      <c r="U16" s="473">
        <f t="shared" si="5"/>
        <v>19615.691000000003</v>
      </c>
    </row>
    <row r="17" spans="2:21" x14ac:dyDescent="0.2">
      <c r="B17" s="350" t="s">
        <v>123</v>
      </c>
      <c r="C17" s="346">
        <v>0.96494000000000002</v>
      </c>
      <c r="D17" s="346">
        <v>20.332699999999999</v>
      </c>
      <c r="E17" s="468">
        <v>6.9531485412502692</v>
      </c>
      <c r="F17" s="472">
        <f t="shared" si="0"/>
        <v>1.4137628334467933</v>
      </c>
      <c r="G17" s="473">
        <f t="shared" si="1"/>
        <v>21.297639999999998</v>
      </c>
      <c r="I17" s="350" t="s">
        <v>123</v>
      </c>
      <c r="J17" s="346">
        <v>165.92099999999999</v>
      </c>
      <c r="K17" s="346">
        <v>7227.3456699999997</v>
      </c>
      <c r="L17" s="468">
        <v>8.0357498335083157</v>
      </c>
      <c r="M17" s="472">
        <f t="shared" si="2"/>
        <v>580.77141764409544</v>
      </c>
      <c r="N17" s="473">
        <f t="shared" si="3"/>
        <v>7393.26667</v>
      </c>
      <c r="P17" s="350" t="s">
        <v>123</v>
      </c>
      <c r="Q17" s="346">
        <v>824.77599999999995</v>
      </c>
      <c r="R17" s="346">
        <v>9716.1080000000002</v>
      </c>
      <c r="S17" s="468">
        <v>7.7929484109031844</v>
      </c>
      <c r="T17" s="472">
        <f t="shared" si="4"/>
        <v>757.17128398763714</v>
      </c>
      <c r="U17" s="473">
        <f t="shared" si="5"/>
        <v>10540.884</v>
      </c>
    </row>
    <row r="18" spans="2:21" x14ac:dyDescent="0.2">
      <c r="B18" s="350" t="s">
        <v>124</v>
      </c>
      <c r="C18" s="346">
        <v>0.37048000000000003</v>
      </c>
      <c r="D18" s="346">
        <v>13.89418</v>
      </c>
      <c r="E18" s="468">
        <v>8.5735632089842699</v>
      </c>
      <c r="F18" s="472">
        <f t="shared" si="0"/>
        <v>1.1912263046700506</v>
      </c>
      <c r="G18" s="473">
        <f t="shared" si="1"/>
        <v>14.264660000000001</v>
      </c>
      <c r="I18" s="350" t="s">
        <v>124</v>
      </c>
      <c r="J18" s="346">
        <v>70.367999999999995</v>
      </c>
      <c r="K18" s="346">
        <v>6502.9173200000005</v>
      </c>
      <c r="L18" s="468">
        <v>11.435813659989909</v>
      </c>
      <c r="M18" s="472">
        <f t="shared" si="2"/>
        <v>743.66150717840981</v>
      </c>
      <c r="N18" s="473">
        <f t="shared" si="3"/>
        <v>6573.2853200000009</v>
      </c>
      <c r="P18" s="350" t="s">
        <v>124</v>
      </c>
      <c r="Q18" s="346">
        <v>296.41800000000001</v>
      </c>
      <c r="R18" s="346">
        <v>5412.5240000000003</v>
      </c>
      <c r="S18" s="468">
        <v>9.6313117863100963</v>
      </c>
      <c r="T18" s="472">
        <f t="shared" si="4"/>
        <v>521.29706194886273</v>
      </c>
      <c r="U18" s="473">
        <f t="shared" si="5"/>
        <v>5708.942</v>
      </c>
    </row>
    <row r="19" spans="2:21" ht="13.5" thickBot="1" x14ac:dyDescent="0.25">
      <c r="B19" s="351" t="s">
        <v>125</v>
      </c>
      <c r="C19" s="352">
        <v>0.10539000000000001</v>
      </c>
      <c r="D19" s="352">
        <v>3.2650200000000003</v>
      </c>
      <c r="E19" s="469">
        <v>16.626469115814434</v>
      </c>
      <c r="F19" s="474">
        <f t="shared" si="0"/>
        <v>0.54285754192516444</v>
      </c>
      <c r="G19" s="475">
        <f t="shared" si="1"/>
        <v>3.3704100000000001</v>
      </c>
      <c r="I19" s="351" t="s">
        <v>125</v>
      </c>
      <c r="J19" s="352">
        <v>23.563000000000002</v>
      </c>
      <c r="K19" s="352">
        <v>2213.6504599999998</v>
      </c>
      <c r="L19" s="469">
        <v>22.900557661868849</v>
      </c>
      <c r="M19" s="474">
        <f t="shared" si="2"/>
        <v>506.93830002452495</v>
      </c>
      <c r="N19" s="475">
        <f t="shared" si="3"/>
        <v>2237.2134599999999</v>
      </c>
      <c r="P19" s="351" t="s">
        <v>125</v>
      </c>
      <c r="Q19" s="352">
        <v>96.454999999999984</v>
      </c>
      <c r="R19" s="352">
        <v>1382.9190000000001</v>
      </c>
      <c r="S19" s="469">
        <v>17.564144535826433</v>
      </c>
      <c r="T19" s="474">
        <f t="shared" si="4"/>
        <v>242.89789197340556</v>
      </c>
      <c r="U19" s="475">
        <f t="shared" si="5"/>
        <v>1479.374</v>
      </c>
    </row>
    <row r="22" spans="2:21" ht="38.25" customHeight="1" x14ac:dyDescent="0.2">
      <c r="B22" s="1022" t="s">
        <v>683</v>
      </c>
      <c r="C22" s="1023"/>
      <c r="D22" s="1023"/>
      <c r="E22" s="1023"/>
      <c r="F22" s="1023"/>
      <c r="G22" s="1023"/>
      <c r="I22" s="1022" t="s">
        <v>684</v>
      </c>
      <c r="J22" s="1023"/>
      <c r="K22" s="1023"/>
      <c r="L22" s="1023"/>
      <c r="M22" s="1023"/>
      <c r="N22" s="1023"/>
      <c r="P22" s="1022" t="s">
        <v>685</v>
      </c>
      <c r="Q22" s="1023"/>
      <c r="R22" s="1023"/>
      <c r="S22" s="1023"/>
      <c r="T22" s="1023"/>
      <c r="U22" s="1023"/>
    </row>
    <row r="23" spans="2:21" ht="13.5" thickBot="1" x14ac:dyDescent="0.25">
      <c r="B23" s="454"/>
      <c r="C23" s="454" t="s">
        <v>78</v>
      </c>
      <c r="D23" s="454" t="s">
        <v>309</v>
      </c>
      <c r="E23" s="466" t="s">
        <v>82</v>
      </c>
      <c r="F23" s="454" t="s">
        <v>310</v>
      </c>
      <c r="G23" s="454" t="s">
        <v>486</v>
      </c>
      <c r="I23" s="454"/>
      <c r="J23" s="454" t="s">
        <v>78</v>
      </c>
      <c r="K23" s="454" t="s">
        <v>309</v>
      </c>
      <c r="L23" s="466" t="s">
        <v>82</v>
      </c>
      <c r="M23" s="454" t="s">
        <v>310</v>
      </c>
      <c r="N23" s="454" t="s">
        <v>486</v>
      </c>
      <c r="P23" s="454"/>
      <c r="Q23" s="454" t="s">
        <v>78</v>
      </c>
      <c r="R23" s="454" t="s">
        <v>309</v>
      </c>
      <c r="S23" s="466" t="s">
        <v>82</v>
      </c>
      <c r="T23" s="454" t="s">
        <v>310</v>
      </c>
      <c r="U23" s="454" t="s">
        <v>486</v>
      </c>
    </row>
    <row r="24" spans="2:21" x14ac:dyDescent="0.2">
      <c r="B24" s="347" t="s">
        <v>127</v>
      </c>
      <c r="C24" s="348">
        <v>0.26762000000000002</v>
      </c>
      <c r="D24" s="348">
        <v>12.230319999999999</v>
      </c>
      <c r="E24" s="467">
        <v>7.1312508288462668</v>
      </c>
      <c r="F24" s="470">
        <f t="shared" ref="F24:F32" si="6">D24*E24/100</f>
        <v>0.87217479637055062</v>
      </c>
      <c r="G24" s="471">
        <f t="shared" ref="G24:G32" si="7">C24+D24</f>
        <v>12.49794</v>
      </c>
      <c r="I24" s="347" t="s">
        <v>127</v>
      </c>
      <c r="J24" s="348">
        <v>0.109</v>
      </c>
      <c r="K24" s="348">
        <v>21.864999999999998</v>
      </c>
      <c r="L24" s="467">
        <v>21.823169305438398</v>
      </c>
      <c r="M24" s="470">
        <f t="shared" ref="M24:M32" si="8">K24*L24/100</f>
        <v>4.7716359686341052</v>
      </c>
      <c r="N24" s="471">
        <f t="shared" ref="N24:N32" si="9">J24+K24</f>
        <v>21.974</v>
      </c>
      <c r="P24" s="347" t="s">
        <v>127</v>
      </c>
      <c r="Q24" s="348">
        <v>76.227000000000004</v>
      </c>
      <c r="R24" s="348">
        <v>3012.5709999999999</v>
      </c>
      <c r="S24" s="467">
        <v>29.543980500442451</v>
      </c>
      <c r="T24" s="470">
        <f t="shared" ref="T24:T32" si="10">R24*S24/100</f>
        <v>890.03338880198407</v>
      </c>
      <c r="U24" s="471">
        <f t="shared" ref="U24:U32" si="11">Q24+R24</f>
        <v>3088.7979999999998</v>
      </c>
    </row>
    <row r="25" spans="2:21" x14ac:dyDescent="0.2">
      <c r="B25" s="349" t="s">
        <v>128</v>
      </c>
      <c r="C25" s="346">
        <v>0.22765999999999997</v>
      </c>
      <c r="D25" s="346">
        <v>19.082089999999997</v>
      </c>
      <c r="E25" s="468">
        <v>6.4873677221231469</v>
      </c>
      <c r="F25" s="472">
        <f t="shared" si="6"/>
        <v>1.2379253473664886</v>
      </c>
      <c r="G25" s="473">
        <f t="shared" si="7"/>
        <v>19.309749999999998</v>
      </c>
      <c r="I25" s="349" t="s">
        <v>128</v>
      </c>
      <c r="J25" s="346">
        <v>5.6829999999999998</v>
      </c>
      <c r="K25" s="346">
        <v>473.74599999999998</v>
      </c>
      <c r="L25" s="468">
        <v>7.3100304138502619</v>
      </c>
      <c r="M25" s="472">
        <f t="shared" si="8"/>
        <v>34.630976684399059</v>
      </c>
      <c r="N25" s="473">
        <f t="shared" si="9"/>
        <v>479.42899999999997</v>
      </c>
      <c r="P25" s="349" t="s">
        <v>128</v>
      </c>
      <c r="Q25" s="346">
        <v>552.34</v>
      </c>
      <c r="R25" s="346">
        <v>37487.415000000001</v>
      </c>
      <c r="S25" s="468">
        <v>6.6162247318781882</v>
      </c>
      <c r="T25" s="472">
        <f t="shared" si="10"/>
        <v>2480.2516225718136</v>
      </c>
      <c r="U25" s="473">
        <f t="shared" si="11"/>
        <v>38039.754999999997</v>
      </c>
    </row>
    <row r="26" spans="2:21" x14ac:dyDescent="0.2">
      <c r="B26" s="349" t="s">
        <v>129</v>
      </c>
      <c r="C26" s="346">
        <v>0.49251</v>
      </c>
      <c r="D26" s="346">
        <v>13.457370000000001</v>
      </c>
      <c r="E26" s="468">
        <v>8.3462525343739369</v>
      </c>
      <c r="F26" s="472">
        <f t="shared" si="6"/>
        <v>1.1231860846850779</v>
      </c>
      <c r="G26" s="473">
        <f t="shared" si="7"/>
        <v>13.94988</v>
      </c>
      <c r="I26" s="349" t="s">
        <v>129</v>
      </c>
      <c r="J26" s="346">
        <v>80.534000000000006</v>
      </c>
      <c r="K26" s="346">
        <v>1453.364</v>
      </c>
      <c r="L26" s="468">
        <v>7.363559346241388</v>
      </c>
      <c r="M26" s="472">
        <f t="shared" si="8"/>
        <v>107.01932065690769</v>
      </c>
      <c r="N26" s="473">
        <f t="shared" si="9"/>
        <v>1533.8980000000001</v>
      </c>
      <c r="P26" s="349" t="s">
        <v>129</v>
      </c>
      <c r="Q26" s="346">
        <v>1170.74</v>
      </c>
      <c r="R26" s="346">
        <v>20566.652999999998</v>
      </c>
      <c r="S26" s="468">
        <v>9.6297740099818476</v>
      </c>
      <c r="T26" s="472">
        <f t="shared" si="10"/>
        <v>1980.5222053171517</v>
      </c>
      <c r="U26" s="473">
        <f t="shared" si="11"/>
        <v>21737.393</v>
      </c>
    </row>
    <row r="27" spans="2:21" x14ac:dyDescent="0.2">
      <c r="B27" s="349" t="s">
        <v>130</v>
      </c>
      <c r="C27" s="346">
        <v>0.49441000000000007</v>
      </c>
      <c r="D27" s="346">
        <v>12.27674</v>
      </c>
      <c r="E27" s="468">
        <v>7.8722618782835134</v>
      </c>
      <c r="F27" s="472">
        <f t="shared" si="6"/>
        <v>0.9664571229159834</v>
      </c>
      <c r="G27" s="473">
        <f t="shared" si="7"/>
        <v>12.77115</v>
      </c>
      <c r="I27" s="349" t="s">
        <v>130</v>
      </c>
      <c r="J27" s="346">
        <v>98.69</v>
      </c>
      <c r="K27" s="346">
        <v>2372.3809999999999</v>
      </c>
      <c r="L27" s="468">
        <v>8.1991655117774087</v>
      </c>
      <c r="M27" s="472">
        <f t="shared" si="8"/>
        <v>194.51544475996002</v>
      </c>
      <c r="N27" s="473">
        <f t="shared" si="9"/>
        <v>2471.0709999999999</v>
      </c>
      <c r="P27" s="349" t="s">
        <v>130</v>
      </c>
      <c r="Q27" s="346">
        <v>795.40800000000002</v>
      </c>
      <c r="R27" s="346">
        <v>12607.895</v>
      </c>
      <c r="S27" s="468">
        <v>9.787593947067073</v>
      </c>
      <c r="T27" s="472">
        <f t="shared" si="10"/>
        <v>1234.0095678725722</v>
      </c>
      <c r="U27" s="473">
        <f t="shared" si="11"/>
        <v>13403.303</v>
      </c>
    </row>
    <row r="28" spans="2:21" x14ac:dyDescent="0.2">
      <c r="B28" s="349" t="s">
        <v>131</v>
      </c>
      <c r="C28" s="346">
        <v>0.64386999999999994</v>
      </c>
      <c r="D28" s="346">
        <v>24.103330000000003</v>
      </c>
      <c r="E28" s="468">
        <v>5.7753232301777997</v>
      </c>
      <c r="F28" s="472">
        <f t="shared" si="6"/>
        <v>1.392045216736415</v>
      </c>
      <c r="G28" s="473">
        <f t="shared" si="7"/>
        <v>24.747200000000003</v>
      </c>
      <c r="I28" s="349" t="s">
        <v>131</v>
      </c>
      <c r="J28" s="346">
        <v>103.352</v>
      </c>
      <c r="K28" s="346">
        <v>7177.2640000000001</v>
      </c>
      <c r="L28" s="468">
        <v>6.0754224024387078</v>
      </c>
      <c r="M28" s="472">
        <f t="shared" si="8"/>
        <v>436.04910493816851</v>
      </c>
      <c r="N28" s="473">
        <f t="shared" si="9"/>
        <v>7280.616</v>
      </c>
      <c r="P28" s="349" t="s">
        <v>131</v>
      </c>
      <c r="Q28" s="346">
        <v>354.31400000000002</v>
      </c>
      <c r="R28" s="346">
        <v>15479.26</v>
      </c>
      <c r="S28" s="468">
        <v>7.3009874258096117</v>
      </c>
      <c r="T28" s="472">
        <f t="shared" si="10"/>
        <v>1130.1388262083769</v>
      </c>
      <c r="U28" s="473">
        <f t="shared" si="11"/>
        <v>15833.574000000001</v>
      </c>
    </row>
    <row r="29" spans="2:21" x14ac:dyDescent="0.2">
      <c r="B29" s="349" t="s">
        <v>132</v>
      </c>
      <c r="C29" s="346">
        <v>0.43122999999999995</v>
      </c>
      <c r="D29" s="346">
        <v>17.13289</v>
      </c>
      <c r="E29" s="468">
        <v>7.9564296376037698</v>
      </c>
      <c r="F29" s="472">
        <f t="shared" si="6"/>
        <v>1.3631663377380525</v>
      </c>
      <c r="G29" s="473">
        <f t="shared" si="7"/>
        <v>17.564119999999999</v>
      </c>
      <c r="I29" s="349" t="s">
        <v>132</v>
      </c>
      <c r="J29" s="346">
        <v>58.792000000000002</v>
      </c>
      <c r="K29" s="346">
        <v>6538.6040000000003</v>
      </c>
      <c r="L29" s="468">
        <v>8.3038996673470393</v>
      </c>
      <c r="M29" s="472">
        <f t="shared" si="8"/>
        <v>542.9591158051403</v>
      </c>
      <c r="N29" s="473">
        <f t="shared" si="9"/>
        <v>6597.3960000000006</v>
      </c>
      <c r="P29" s="349" t="s">
        <v>132</v>
      </c>
      <c r="Q29" s="346">
        <v>95.376999999999995</v>
      </c>
      <c r="R29" s="346">
        <v>6169.29</v>
      </c>
      <c r="S29" s="468">
        <v>11.298578717284057</v>
      </c>
      <c r="T29" s="472">
        <f t="shared" si="10"/>
        <v>697.04208694753356</v>
      </c>
      <c r="U29" s="473">
        <f t="shared" si="11"/>
        <v>6264.6670000000004</v>
      </c>
    </row>
    <row r="30" spans="2:21" x14ac:dyDescent="0.2">
      <c r="B30" s="349" t="s">
        <v>133</v>
      </c>
      <c r="C30" s="346">
        <v>0.29177000000000003</v>
      </c>
      <c r="D30" s="346">
        <v>14.03134</v>
      </c>
      <c r="E30" s="468">
        <v>7.9138010186814478</v>
      </c>
      <c r="F30" s="472">
        <f t="shared" si="6"/>
        <v>1.1104123278546576</v>
      </c>
      <c r="G30" s="473">
        <f t="shared" si="7"/>
        <v>14.32311</v>
      </c>
      <c r="I30" s="349" t="s">
        <v>133</v>
      </c>
      <c r="J30" s="346">
        <v>50.601999999999997</v>
      </c>
      <c r="K30" s="346">
        <v>6810.4939999999997</v>
      </c>
      <c r="L30" s="468">
        <v>9.4614680396518178</v>
      </c>
      <c r="M30" s="472">
        <f t="shared" si="8"/>
        <v>644.37271315240457</v>
      </c>
      <c r="N30" s="473">
        <f t="shared" si="9"/>
        <v>6861.0959999999995</v>
      </c>
      <c r="P30" s="349" t="s">
        <v>133</v>
      </c>
      <c r="Q30" s="346">
        <v>34.872999999999998</v>
      </c>
      <c r="R30" s="346">
        <v>3001.7579999999998</v>
      </c>
      <c r="S30" s="468">
        <v>10.775244342777738</v>
      </c>
      <c r="T30" s="472">
        <f t="shared" si="10"/>
        <v>323.44675907887813</v>
      </c>
      <c r="U30" s="473">
        <f t="shared" si="11"/>
        <v>3036.6309999999999</v>
      </c>
    </row>
    <row r="31" spans="2:21" x14ac:dyDescent="0.2">
      <c r="B31" s="349" t="s">
        <v>134</v>
      </c>
      <c r="C31" s="346">
        <v>5.62E-2</v>
      </c>
      <c r="D31" s="346">
        <v>3.6919899999999997</v>
      </c>
      <c r="E31" s="468">
        <v>17.5144791785841</v>
      </c>
      <c r="F31" s="472">
        <f t="shared" si="6"/>
        <v>0.6466328198254071</v>
      </c>
      <c r="G31" s="473">
        <f t="shared" si="7"/>
        <v>3.7481899999999997</v>
      </c>
      <c r="I31" s="349" t="s">
        <v>134</v>
      </c>
      <c r="J31" s="346">
        <v>11.786</v>
      </c>
      <c r="K31" s="346">
        <v>2641.8319999999999</v>
      </c>
      <c r="L31" s="468">
        <v>16.956123785288881</v>
      </c>
      <c r="M31" s="472">
        <f t="shared" si="8"/>
        <v>447.95230411937291</v>
      </c>
      <c r="N31" s="473">
        <f t="shared" si="9"/>
        <v>2653.6179999999999</v>
      </c>
      <c r="P31" s="349" t="s">
        <v>134</v>
      </c>
      <c r="Q31" s="346">
        <v>4.08</v>
      </c>
      <c r="R31" s="346">
        <v>626.46500000000003</v>
      </c>
      <c r="S31" s="468">
        <v>24.085935402703942</v>
      </c>
      <c r="T31" s="472">
        <f t="shared" si="10"/>
        <v>150.88995522054927</v>
      </c>
      <c r="U31" s="473">
        <f t="shared" si="11"/>
        <v>630.54500000000007</v>
      </c>
    </row>
    <row r="32" spans="2:21" ht="13.5" thickBot="1" x14ac:dyDescent="0.25">
      <c r="B32" s="351" t="s">
        <v>135</v>
      </c>
      <c r="C32" s="352">
        <v>3.9450000000000006E-2</v>
      </c>
      <c r="D32" s="352">
        <v>1.6118200000000003</v>
      </c>
      <c r="E32" s="469">
        <v>20.539715228249953</v>
      </c>
      <c r="F32" s="474">
        <f t="shared" si="6"/>
        <v>0.33106323799197845</v>
      </c>
      <c r="G32" s="475">
        <f t="shared" si="7"/>
        <v>1.6512700000000002</v>
      </c>
      <c r="I32" s="351" t="s">
        <v>135</v>
      </c>
      <c r="J32" s="352">
        <v>7.7640000000000002</v>
      </c>
      <c r="K32" s="352">
        <v>1815.0229999999999</v>
      </c>
      <c r="L32" s="469">
        <v>20.603447356979515</v>
      </c>
      <c r="M32" s="474">
        <f t="shared" si="8"/>
        <v>373.95730832207033</v>
      </c>
      <c r="N32" s="475">
        <f t="shared" si="9"/>
        <v>1822.7869999999998</v>
      </c>
      <c r="P32" s="351" t="s">
        <v>135</v>
      </c>
      <c r="Q32" s="352">
        <v>1.3580000000000001</v>
      </c>
      <c r="R32" s="352">
        <v>121.05200000000001</v>
      </c>
      <c r="S32" s="469">
        <v>35.544603697372871</v>
      </c>
      <c r="T32" s="474">
        <f t="shared" si="10"/>
        <v>43.027453667743814</v>
      </c>
      <c r="U32" s="475">
        <f t="shared" si="11"/>
        <v>122.41000000000001</v>
      </c>
    </row>
    <row r="35" spans="2:21" ht="29.25" customHeight="1" x14ac:dyDescent="0.2">
      <c r="B35" s="1022" t="s">
        <v>382</v>
      </c>
      <c r="C35" s="1023"/>
      <c r="D35" s="1023"/>
      <c r="E35" s="1023"/>
      <c r="F35" s="1023"/>
      <c r="G35" s="1023"/>
      <c r="I35" s="1022" t="s">
        <v>383</v>
      </c>
      <c r="J35" s="1023"/>
      <c r="K35" s="1023"/>
      <c r="L35" s="1023"/>
      <c r="M35" s="1023"/>
      <c r="N35" s="1023"/>
      <c r="P35" s="1022" t="s">
        <v>384</v>
      </c>
      <c r="Q35" s="1023"/>
      <c r="R35" s="1023"/>
      <c r="S35" s="1023"/>
      <c r="T35" s="1023"/>
      <c r="U35" s="1023"/>
    </row>
    <row r="36" spans="2:21" ht="39" thickBot="1" x14ac:dyDescent="0.25">
      <c r="B36" s="454"/>
      <c r="C36" s="454"/>
      <c r="D36" s="454"/>
      <c r="E36" s="454"/>
      <c r="F36" s="454"/>
      <c r="G36" s="345" t="s">
        <v>477</v>
      </c>
      <c r="I36" s="454"/>
      <c r="J36" s="454"/>
      <c r="K36" s="454"/>
      <c r="L36" s="454"/>
      <c r="M36" s="454"/>
      <c r="N36" s="345" t="s">
        <v>488</v>
      </c>
      <c r="P36" s="454"/>
      <c r="Q36" s="454"/>
      <c r="R36" s="454"/>
      <c r="S36" s="454"/>
      <c r="T36" s="454"/>
      <c r="U36" s="345" t="s">
        <v>478</v>
      </c>
    </row>
    <row r="37" spans="2:21" x14ac:dyDescent="0.2">
      <c r="B37" s="347" t="s">
        <v>97</v>
      </c>
      <c r="C37" s="348"/>
      <c r="D37" s="348"/>
      <c r="E37" s="348"/>
      <c r="F37" s="348"/>
      <c r="G37" s="471">
        <f>G8</f>
        <v>120.5</v>
      </c>
      <c r="I37" s="347" t="s">
        <v>97</v>
      </c>
      <c r="J37" s="348"/>
      <c r="K37" s="348"/>
      <c r="L37" s="348"/>
      <c r="M37" s="348"/>
      <c r="N37" s="471">
        <f>N8</f>
        <v>29721.885000000002</v>
      </c>
      <c r="P37" s="347" t="s">
        <v>97</v>
      </c>
      <c r="Q37" s="348"/>
      <c r="R37" s="348"/>
      <c r="S37" s="348"/>
      <c r="T37" s="348"/>
      <c r="U37" s="471">
        <f>U8</f>
        <v>115581.29</v>
      </c>
    </row>
    <row r="38" spans="2:21" ht="38.25" x14ac:dyDescent="0.2">
      <c r="B38" s="353" t="s">
        <v>381</v>
      </c>
      <c r="C38" s="346"/>
      <c r="D38" s="346"/>
      <c r="E38" s="346"/>
      <c r="F38" s="346"/>
      <c r="G38" s="473">
        <f>G7-G8</f>
        <v>772.03071</v>
      </c>
      <c r="I38" s="353" t="s">
        <v>381</v>
      </c>
      <c r="J38" s="346"/>
      <c r="K38" s="346"/>
      <c r="L38" s="346"/>
      <c r="M38" s="346"/>
      <c r="N38" s="473">
        <f>N7-N8</f>
        <v>148220.212</v>
      </c>
      <c r="P38" s="353" t="s">
        <v>381</v>
      </c>
      <c r="Q38" s="346"/>
      <c r="R38" s="346"/>
      <c r="S38" s="346"/>
      <c r="T38" s="346"/>
      <c r="U38" s="473">
        <f>U7-U8</f>
        <v>925897.41599999997</v>
      </c>
    </row>
    <row r="39" spans="2:21" ht="13.5" thickBot="1" x14ac:dyDescent="0.25">
      <c r="B39" s="351" t="s">
        <v>83</v>
      </c>
      <c r="C39" s="352"/>
      <c r="D39" s="352"/>
      <c r="E39" s="352"/>
      <c r="F39" s="352"/>
      <c r="G39" s="475">
        <f>G6</f>
        <v>305.05426999999997</v>
      </c>
      <c r="I39" s="351" t="s">
        <v>83</v>
      </c>
      <c r="J39" s="352"/>
      <c r="K39" s="352"/>
      <c r="L39" s="352"/>
      <c r="M39" s="352"/>
      <c r="N39" s="475">
        <f>N6</f>
        <v>89995.516000000003</v>
      </c>
      <c r="P39" s="351" t="s">
        <v>83</v>
      </c>
      <c r="Q39" s="352"/>
      <c r="R39" s="352"/>
      <c r="S39" s="352"/>
      <c r="T39" s="352"/>
      <c r="U39" s="475">
        <f>U6</f>
        <v>305205.06699999998</v>
      </c>
    </row>
  </sheetData>
  <mergeCells count="12">
    <mergeCell ref="B3:G3"/>
    <mergeCell ref="I3:N3"/>
    <mergeCell ref="P3:U3"/>
    <mergeCell ref="B11:G11"/>
    <mergeCell ref="I11:N11"/>
    <mergeCell ref="P11:U11"/>
    <mergeCell ref="B22:G22"/>
    <mergeCell ref="I22:N22"/>
    <mergeCell ref="P22:U22"/>
    <mergeCell ref="B35:G35"/>
    <mergeCell ref="I35:N35"/>
    <mergeCell ref="P35:U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757</v>
      </c>
      <c r="D5" s="654" t="s">
        <v>757</v>
      </c>
      <c r="E5" s="655" t="s">
        <v>82</v>
      </c>
      <c r="F5" s="654" t="s">
        <v>757</v>
      </c>
      <c r="G5" s="654" t="s">
        <v>757</v>
      </c>
      <c r="H5" s="654" t="s">
        <v>757</v>
      </c>
      <c r="I5" s="655" t="s">
        <v>82</v>
      </c>
      <c r="J5" s="654" t="s">
        <v>757</v>
      </c>
      <c r="K5" s="654" t="s">
        <v>757</v>
      </c>
      <c r="L5" s="654" t="s">
        <v>757</v>
      </c>
      <c r="M5" s="655" t="s">
        <v>82</v>
      </c>
      <c r="N5" s="654" t="s">
        <v>757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tr">
        <f>Index!$B$4</f>
        <v>England</v>
      </c>
      <c r="C6" s="660">
        <v>181.17345999999995</v>
      </c>
      <c r="D6" s="661">
        <v>1016.37209</v>
      </c>
      <c r="E6" s="662">
        <v>0.64792943065038755</v>
      </c>
      <c r="F6" s="663">
        <f>C6+D6</f>
        <v>1197.5455499999998</v>
      </c>
      <c r="G6" s="660">
        <v>127.51262</v>
      </c>
      <c r="H6" s="661">
        <v>177.55427</v>
      </c>
      <c r="I6" s="662">
        <v>1.8383643226275099</v>
      </c>
      <c r="J6" s="663">
        <f>G6+H6</f>
        <v>305.06689</v>
      </c>
      <c r="K6" s="664">
        <v>53.660849999999996</v>
      </c>
      <c r="L6" s="661">
        <v>838.83070999999995</v>
      </c>
      <c r="M6" s="662">
        <v>0.83000155512029494</v>
      </c>
      <c r="N6" s="663">
        <f>K6+L6</f>
        <v>892.49155999999994</v>
      </c>
      <c r="P6" s="665">
        <f>D6*E6/100</f>
        <v>6.5853738960264447</v>
      </c>
      <c r="Q6" s="472">
        <f>H6*I6/100</f>
        <v>3.2640943529817203</v>
      </c>
      <c r="R6" s="666">
        <f>L6*M6/100</f>
        <v>6.9623079378266111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669">
        <v>16.338729999999998</v>
      </c>
      <c r="D7" s="670">
        <v>59.816089999999996</v>
      </c>
      <c r="E7" s="671">
        <v>1.7</v>
      </c>
      <c r="F7" s="663">
        <f>C7+D7</f>
        <v>76.154820000000001</v>
      </c>
      <c r="G7" s="669">
        <v>13.633100000000001</v>
      </c>
      <c r="H7" s="670">
        <v>17.642330000000001</v>
      </c>
      <c r="I7" s="671">
        <v>5.7</v>
      </c>
      <c r="J7" s="663">
        <f>G7+H7</f>
        <v>31.27543</v>
      </c>
      <c r="K7" s="672">
        <v>2.7056399999999998</v>
      </c>
      <c r="L7" s="670">
        <v>42.14284</v>
      </c>
      <c r="M7" s="671">
        <v>2.77</v>
      </c>
      <c r="N7" s="663">
        <f>K7+L7</f>
        <v>44.848480000000002</v>
      </c>
      <c r="P7" s="665">
        <f>D7*E7/100</f>
        <v>1.0168735299999998</v>
      </c>
      <c r="Q7" s="472">
        <f t="shared" ref="Q7:Q20" si="0">H7*I7/100</f>
        <v>1.0056128100000001</v>
      </c>
      <c r="R7" s="666">
        <f t="shared" ref="R7:R20" si="1">L7*M7/100</f>
        <v>1.167356668</v>
      </c>
      <c r="U7" s="668" t="str">
        <f>INDEX($B$7:$N$20,MATCH(1,$F$47:$F$60,FALSE),1)</f>
        <v>West Midlands</v>
      </c>
      <c r="V7" s="673">
        <f>INDEX($B$7:$N$20,MATCH(1,$F$47:$F$60,FALSE),2)</f>
        <v>19.459019999999999</v>
      </c>
      <c r="W7" s="674">
        <f>INDEX($B$7:$N$20,MATCH(1,$F$47:$F$60,FALSE),3)</f>
        <v>111.30824000000001</v>
      </c>
      <c r="X7" s="675">
        <f>INDEX($B$7:$N$20,MATCH(1,$F$47:$F$60,FALSE),4)</f>
        <v>1.38</v>
      </c>
      <c r="Y7" s="663">
        <f>INDEX($B$7:$N$20,MATCH(1,$F$47:$F$60,FALSE),5)</f>
        <v>130.76726000000002</v>
      </c>
      <c r="Z7" s="673">
        <f>INDEX($B$7:$N$20,MATCH(1,$F$47:$F$60,FALSE),6)</f>
        <v>11.581440000000001</v>
      </c>
      <c r="AA7" s="674">
        <f>INDEX($B$7:$N$20,MATCH(1,$F$47:$F$60,FALSE),7)</f>
        <v>18.497499999999999</v>
      </c>
      <c r="AB7" s="675">
        <f>INDEX($B$7:$N$20,MATCH(1,$F$47:$F$60,FALSE),8)</f>
        <v>6.24</v>
      </c>
      <c r="AC7" s="663">
        <f>INDEX($B$7:$N$20,MATCH(1,$F$47:$F$60,FALSE),9)</f>
        <v>30.078939999999999</v>
      </c>
      <c r="AD7" s="676">
        <f>INDEX($B$7:$N$20,MATCH(1,$F$47:$F$60,FALSE),10)</f>
        <v>7.87758</v>
      </c>
      <c r="AE7" s="674">
        <f>INDEX($B$7:$N$20,MATCH(1,$F$47:$F$60,FALSE),11)</f>
        <v>93.086910000000003</v>
      </c>
      <c r="AF7" s="675">
        <f>INDEX($B$7:$N$20,MATCH(1,$F$47:$F$60,FALSE),12)</f>
        <v>1.87</v>
      </c>
      <c r="AG7" s="663">
        <f>INDEX($B$7:$N$20,MATCH(1,$F$47:$F$60,FALSE),13)</f>
        <v>100.96449</v>
      </c>
      <c r="AI7" s="665">
        <f>W7*X7/100</f>
        <v>1.5360537120000002</v>
      </c>
      <c r="AJ7" s="472">
        <f t="shared" ref="AJ7:AJ20" si="2">AA7*AB7/100</f>
        <v>1.1542439999999998</v>
      </c>
      <c r="AK7" s="666">
        <f t="shared" ref="AK7:AK20" si="3">AE7*AF7/100</f>
        <v>1.740725217</v>
      </c>
    </row>
    <row r="8" spans="2:37" ht="15" customHeight="1" x14ac:dyDescent="0.2">
      <c r="B8" s="668" t="s">
        <v>307</v>
      </c>
      <c r="C8" s="669">
        <v>10.266860000000001</v>
      </c>
      <c r="D8" s="670">
        <v>96.409600000000012</v>
      </c>
      <c r="E8" s="671">
        <v>2</v>
      </c>
      <c r="F8" s="663">
        <f t="shared" ref="F8:F20" si="4">C8+D8</f>
        <v>106.67646000000002</v>
      </c>
      <c r="G8" s="669">
        <v>8.0540900000000004</v>
      </c>
      <c r="H8" s="670">
        <v>16.745930000000001</v>
      </c>
      <c r="I8" s="671">
        <v>5.48</v>
      </c>
      <c r="J8" s="663">
        <f t="shared" ref="J8:J20" si="5">G8+H8</f>
        <v>24.800020000000004</v>
      </c>
      <c r="K8" s="672">
        <v>2.2127600000000003</v>
      </c>
      <c r="L8" s="670">
        <v>79.515889999999999</v>
      </c>
      <c r="M8" s="671">
        <v>2.44</v>
      </c>
      <c r="N8" s="663">
        <f t="shared" ref="N8:N20" si="6">K8+L8</f>
        <v>81.728650000000002</v>
      </c>
      <c r="P8" s="665">
        <f t="shared" ref="P8:P20" si="7">D8*E8/100</f>
        <v>1.9281920000000001</v>
      </c>
      <c r="Q8" s="472">
        <f t="shared" si="0"/>
        <v>0.91767696400000021</v>
      </c>
      <c r="R8" s="666">
        <f t="shared" si="1"/>
        <v>1.9401877159999998</v>
      </c>
      <c r="U8" s="668" t="str">
        <f>INDEX($B$7:$N$20,MATCH(2,$F$47:$F$60,FALSE),1)</f>
        <v>East Anglia</v>
      </c>
      <c r="V8" s="673">
        <f>INDEX($B$7:$N$20,MATCH(2,$F$47:$F$60,FALSE),2)</f>
        <v>21.707750000000001</v>
      </c>
      <c r="W8" s="674">
        <f>INDEX($B$7:$N$20,MATCH(2,$F$47:$F$60,FALSE),3)</f>
        <v>102.52519000000001</v>
      </c>
      <c r="X8" s="675">
        <f>INDEX($B$7:$N$20,MATCH(2,$F$47:$F$60,FALSE),4)</f>
        <v>1.44</v>
      </c>
      <c r="Y8" s="663">
        <f>INDEX($B$7:$N$20,MATCH(2,$F$47:$F$60,FALSE),5)</f>
        <v>124.23294000000001</v>
      </c>
      <c r="Z8" s="673">
        <f>INDEX($B$7:$N$20,MATCH(2,$F$47:$F$60,FALSE),6)</f>
        <v>17.605900000000002</v>
      </c>
      <c r="AA8" s="674">
        <f>INDEX($B$7:$N$20,MATCH(2,$F$47:$F$60,FALSE),7)</f>
        <v>15.72425</v>
      </c>
      <c r="AB8" s="675">
        <f>INDEX($B$7:$N$20,MATCH(2,$F$47:$F$60,FALSE),8)</f>
        <v>7.12</v>
      </c>
      <c r="AC8" s="663">
        <f>INDEX($B$7:$N$20,MATCH(2,$F$47:$F$60,FALSE),9)</f>
        <v>33.330150000000003</v>
      </c>
      <c r="AD8" s="676">
        <f>INDEX($B$7:$N$20,MATCH(2,$F$47:$F$60,FALSE),10)</f>
        <v>4.1018500000000007</v>
      </c>
      <c r="AE8" s="674">
        <f>INDEX($B$7:$N$20,MATCH(2,$F$47:$F$60,FALSE),11)</f>
        <v>86.757109999999997</v>
      </c>
      <c r="AF8" s="675">
        <f>INDEX($B$7:$N$20,MATCH(2,$F$47:$F$60,FALSE),12)</f>
        <v>2.0299999999999998</v>
      </c>
      <c r="AG8" s="663">
        <f>INDEX($B$7:$N$20,MATCH(2,$F$47:$F$60,FALSE),13)</f>
        <v>90.858959999999996</v>
      </c>
      <c r="AI8" s="665">
        <f t="shared" ref="AI8:AI20" si="8">W8*X8/100</f>
        <v>1.476362736</v>
      </c>
      <c r="AJ8" s="472">
        <f t="shared" si="2"/>
        <v>1.1195666</v>
      </c>
      <c r="AK8" s="666">
        <f t="shared" si="3"/>
        <v>1.7611693329999998</v>
      </c>
    </row>
    <row r="9" spans="2:37" ht="15" customHeight="1" x14ac:dyDescent="0.2">
      <c r="B9" s="668" t="s">
        <v>287</v>
      </c>
      <c r="C9" s="669">
        <v>21.707750000000001</v>
      </c>
      <c r="D9" s="670">
        <v>102.52519000000001</v>
      </c>
      <c r="E9" s="671">
        <v>1.44</v>
      </c>
      <c r="F9" s="663">
        <f t="shared" si="4"/>
        <v>124.23294000000001</v>
      </c>
      <c r="G9" s="669">
        <v>17.605900000000002</v>
      </c>
      <c r="H9" s="670">
        <v>15.72425</v>
      </c>
      <c r="I9" s="671">
        <v>7.12</v>
      </c>
      <c r="J9" s="663">
        <f t="shared" si="5"/>
        <v>33.330150000000003</v>
      </c>
      <c r="K9" s="672">
        <v>4.1018500000000007</v>
      </c>
      <c r="L9" s="670">
        <v>86.757109999999997</v>
      </c>
      <c r="M9" s="671">
        <v>2.0299999999999998</v>
      </c>
      <c r="N9" s="663">
        <f t="shared" si="6"/>
        <v>90.858959999999996</v>
      </c>
      <c r="P9" s="665">
        <f t="shared" si="7"/>
        <v>1.476362736</v>
      </c>
      <c r="Q9" s="472">
        <f t="shared" si="0"/>
        <v>1.1195666</v>
      </c>
      <c r="R9" s="666">
        <f t="shared" si="1"/>
        <v>1.7611693329999998</v>
      </c>
      <c r="U9" s="668" t="str">
        <f>INDEX($B$7:$N$20,MATCH(3,$F$47:$F$60,FALSE),1)</f>
        <v>Solent and South Downs</v>
      </c>
      <c r="V9" s="673">
        <f>INDEX($B$7:$N$20,MATCH(3,$F$47:$F$60,FALSE),2)</f>
        <v>21.131790000000002</v>
      </c>
      <c r="W9" s="674">
        <f>INDEX($B$7:$N$20,MATCH(3,$F$47:$F$60,FALSE),3)</f>
        <v>93.152839999999998</v>
      </c>
      <c r="X9" s="675">
        <f>INDEX($B$7:$N$20,MATCH(3,$F$47:$F$60,FALSE),4)</f>
        <v>1.5</v>
      </c>
      <c r="Y9" s="663">
        <f>INDEX($B$7:$N$20,MATCH(3,$F$47:$F$60,FALSE),5)</f>
        <v>114.28462999999999</v>
      </c>
      <c r="Z9" s="673">
        <f>INDEX($B$7:$N$20,MATCH(3,$F$47:$F$60,FALSE),6)</f>
        <v>7.6618399999999998</v>
      </c>
      <c r="AA9" s="674">
        <f>INDEX($B$7:$N$20,MATCH(3,$F$47:$F$60,FALSE),7)</f>
        <v>13.135069999999999</v>
      </c>
      <c r="AB9" s="675">
        <f>INDEX($B$7:$N$20,MATCH(3,$F$47:$F$60,FALSE),8)</f>
        <v>5.31</v>
      </c>
      <c r="AC9" s="663">
        <f>INDEX($B$7:$N$20,MATCH(3,$F$47:$F$60,FALSE),9)</f>
        <v>20.796909999999997</v>
      </c>
      <c r="AD9" s="676">
        <f>INDEX($B$7:$N$20,MATCH(3,$F$47:$F$60,FALSE),10)</f>
        <v>13.469959999999999</v>
      </c>
      <c r="AE9" s="674">
        <f>INDEX($B$7:$N$20,MATCH(3,$F$47:$F$60,FALSE),11)</f>
        <v>79.923190000000005</v>
      </c>
      <c r="AF9" s="675">
        <f>INDEX($B$7:$N$20,MATCH(3,$F$47:$F$60,FALSE),12)</f>
        <v>1.91</v>
      </c>
      <c r="AG9" s="663">
        <f>INDEX($B$7:$N$20,MATCH(3,$F$47:$F$60,FALSE),13)</f>
        <v>93.393150000000006</v>
      </c>
      <c r="AI9" s="665">
        <f t="shared" si="8"/>
        <v>1.3972926000000001</v>
      </c>
      <c r="AJ9" s="472">
        <f t="shared" si="2"/>
        <v>0.69747221699999984</v>
      </c>
      <c r="AK9" s="666">
        <f t="shared" si="3"/>
        <v>1.526532929</v>
      </c>
    </row>
    <row r="10" spans="2:37" ht="15" customHeight="1" x14ac:dyDescent="0.2">
      <c r="B10" s="668" t="s">
        <v>288</v>
      </c>
      <c r="C10" s="669">
        <v>6.7304899999999996</v>
      </c>
      <c r="D10" s="670">
        <v>44.435970000000005</v>
      </c>
      <c r="E10" s="671">
        <v>1.81</v>
      </c>
      <c r="F10" s="663">
        <f t="shared" si="4"/>
        <v>51.166460000000001</v>
      </c>
      <c r="G10" s="669">
        <v>4.7160200000000003</v>
      </c>
      <c r="H10" s="670">
        <v>7.3907499999999997</v>
      </c>
      <c r="I10" s="671">
        <v>10.36</v>
      </c>
      <c r="J10" s="663">
        <f t="shared" si="5"/>
        <v>12.106770000000001</v>
      </c>
      <c r="K10" s="672">
        <v>2.0144700000000002</v>
      </c>
      <c r="L10" s="670">
        <v>37.045209999999997</v>
      </c>
      <c r="M10" s="671">
        <v>2.93</v>
      </c>
      <c r="N10" s="663">
        <f t="shared" si="6"/>
        <v>39.05968</v>
      </c>
      <c r="P10" s="665">
        <f t="shared" si="7"/>
        <v>0.80429105700000003</v>
      </c>
      <c r="Q10" s="472">
        <f t="shared" si="0"/>
        <v>0.76568169999999991</v>
      </c>
      <c r="R10" s="666">
        <f t="shared" si="1"/>
        <v>1.085424653</v>
      </c>
      <c r="U10" s="668" t="str">
        <f>INDEX($B$7:$N$20,MATCH(4,$F$47:$F$60,FALSE),1)</f>
        <v>Devon Cornwall and the Isles of Scilly</v>
      </c>
      <c r="V10" s="673">
        <f>INDEX($B$7:$N$20,MATCH(4,$F$47:$F$60,FALSE),2)</f>
        <v>10.266860000000001</v>
      </c>
      <c r="W10" s="674">
        <f>INDEX($B$7:$N$20,MATCH(4,$F$47:$F$60,FALSE),3)</f>
        <v>96.409600000000012</v>
      </c>
      <c r="X10" s="675">
        <f>INDEX($B$7:$N$20,MATCH(4,$F$47:$F$60,FALSE),4)</f>
        <v>2</v>
      </c>
      <c r="Y10" s="663">
        <f>INDEX($B$7:$N$20,MATCH(4,$F$47:$F$60,FALSE),5)</f>
        <v>106.67646000000002</v>
      </c>
      <c r="Z10" s="673">
        <f>INDEX($B$7:$N$20,MATCH(4,$F$47:$F$60,FALSE),6)</f>
        <v>8.0540900000000004</v>
      </c>
      <c r="AA10" s="674">
        <f>INDEX($B$7:$N$20,MATCH(4,$F$47:$F$60,FALSE),7)</f>
        <v>16.745930000000001</v>
      </c>
      <c r="AB10" s="675">
        <f>INDEX($B$7:$N$20,MATCH(4,$F$47:$F$60,FALSE),8)</f>
        <v>5.48</v>
      </c>
      <c r="AC10" s="663">
        <f>INDEX($B$7:$N$20,MATCH(4,$F$47:$F$60,FALSE),9)</f>
        <v>24.800020000000004</v>
      </c>
      <c r="AD10" s="676">
        <f>INDEX($B$7:$N$20,MATCH(4,$F$47:$F$60,FALSE),10)</f>
        <v>2.2127600000000003</v>
      </c>
      <c r="AE10" s="674">
        <f>INDEX($B$7:$N$20,MATCH(4,$F$47:$F$60,FALSE),11)</f>
        <v>79.515889999999999</v>
      </c>
      <c r="AF10" s="675">
        <f>INDEX($B$7:$N$20,MATCH(4,$F$47:$F$60,FALSE),12)</f>
        <v>2.44</v>
      </c>
      <c r="AG10" s="663">
        <f>INDEX($B$7:$N$20,MATCH(4,$F$47:$F$60,FALSE),13)</f>
        <v>81.728650000000002</v>
      </c>
      <c r="AI10" s="665">
        <f t="shared" si="8"/>
        <v>1.9281920000000001</v>
      </c>
      <c r="AJ10" s="472">
        <f t="shared" si="2"/>
        <v>0.91767696400000021</v>
      </c>
      <c r="AK10" s="666">
        <f t="shared" si="3"/>
        <v>1.9401877159999998</v>
      </c>
    </row>
    <row r="11" spans="2:37" ht="15" customHeight="1" x14ac:dyDescent="0.2">
      <c r="B11" s="668" t="s">
        <v>305</v>
      </c>
      <c r="C11" s="669">
        <v>1.2154100000000001</v>
      </c>
      <c r="D11" s="670">
        <v>25.682310000000001</v>
      </c>
      <c r="E11" s="671">
        <v>15.99</v>
      </c>
      <c r="F11" s="663">
        <f t="shared" si="4"/>
        <v>26.89772</v>
      </c>
      <c r="G11" s="669">
        <v>0.58132000000000006</v>
      </c>
      <c r="H11" s="670">
        <v>2.0668699999999998</v>
      </c>
      <c r="I11" s="671">
        <v>19.760000000000002</v>
      </c>
      <c r="J11" s="663">
        <f t="shared" si="5"/>
        <v>2.6481899999999996</v>
      </c>
      <c r="K11" s="672">
        <v>0.63409000000000004</v>
      </c>
      <c r="L11" s="670">
        <v>23.61544</v>
      </c>
      <c r="M11" s="671">
        <v>17.37</v>
      </c>
      <c r="N11" s="663">
        <f t="shared" si="6"/>
        <v>24.24953</v>
      </c>
      <c r="P11" s="665">
        <f t="shared" si="7"/>
        <v>4.1066013689999998</v>
      </c>
      <c r="Q11" s="472">
        <f t="shared" si="0"/>
        <v>0.40841351199999998</v>
      </c>
      <c r="R11" s="666">
        <f t="shared" si="1"/>
        <v>4.102001928</v>
      </c>
      <c r="U11" s="668" t="str">
        <f>INDEX($B$7:$N$20,MATCH(5,$F$47:$F$60,FALSE),1)</f>
        <v>Yorkshire</v>
      </c>
      <c r="V11" s="673">
        <f>INDEX($B$7:$N$20,MATCH(5,$F$47:$F$60,FALSE),2)</f>
        <v>16.078620000000001</v>
      </c>
      <c r="W11" s="674">
        <f>INDEX($B$7:$N$20,MATCH(5,$F$47:$F$60,FALSE),3)</f>
        <v>84.771550000000005</v>
      </c>
      <c r="X11" s="675">
        <f>INDEX($B$7:$N$20,MATCH(5,$F$47:$F$60,FALSE),4)</f>
        <v>1.6</v>
      </c>
      <c r="Y11" s="663">
        <f>INDEX($B$7:$N$20,MATCH(5,$F$47:$F$60,FALSE),5)</f>
        <v>100.85017000000001</v>
      </c>
      <c r="Z11" s="673">
        <f>INDEX($B$7:$N$20,MATCH(5,$F$47:$F$60,FALSE),6)</f>
        <v>13.151479999999999</v>
      </c>
      <c r="AA11" s="674">
        <f>INDEX($B$7:$N$20,MATCH(5,$F$47:$F$60,FALSE),7)</f>
        <v>18.289249999999999</v>
      </c>
      <c r="AB11" s="675">
        <f>INDEX($B$7:$N$20,MATCH(5,$F$47:$F$60,FALSE),8)</f>
        <v>4.3099999999999996</v>
      </c>
      <c r="AC11" s="663">
        <f>INDEX($B$7:$N$20,MATCH(5,$F$47:$F$60,FALSE),9)</f>
        <v>31.440729999999999</v>
      </c>
      <c r="AD11" s="676">
        <f>INDEX($B$7:$N$20,MATCH(5,$F$47:$F$60,FALSE),10)</f>
        <v>2.9271400000000001</v>
      </c>
      <c r="AE11" s="674">
        <f>INDEX($B$7:$N$20,MATCH(5,$F$47:$F$60,FALSE),11)</f>
        <v>66.428780000000003</v>
      </c>
      <c r="AF11" s="675">
        <f>INDEX($B$7:$N$20,MATCH(5,$F$47:$F$60,FALSE),12)</f>
        <v>2.23</v>
      </c>
      <c r="AG11" s="663">
        <f>INDEX($B$7:$N$20,MATCH(5,$F$47:$F$60,FALSE),13)</f>
        <v>69.355919999999998</v>
      </c>
      <c r="AI11" s="665">
        <f t="shared" si="8"/>
        <v>1.3563448000000002</v>
      </c>
      <c r="AJ11" s="472">
        <f t="shared" si="2"/>
        <v>0.78826667499999981</v>
      </c>
      <c r="AK11" s="666">
        <f t="shared" si="3"/>
        <v>1.4813617940000001</v>
      </c>
    </row>
    <row r="12" spans="2:37" ht="15" customHeight="1" x14ac:dyDescent="0.2">
      <c r="B12" s="668" t="s">
        <v>289</v>
      </c>
      <c r="C12" s="669">
        <v>0.72744000000000009</v>
      </c>
      <c r="D12" s="670">
        <v>32.458410000000001</v>
      </c>
      <c r="E12" s="671">
        <v>1.9</v>
      </c>
      <c r="F12" s="663">
        <f t="shared" si="4"/>
        <v>33.185850000000002</v>
      </c>
      <c r="G12" s="669">
        <v>0.22287000000000001</v>
      </c>
      <c r="H12" s="670">
        <v>2.8965300000000003</v>
      </c>
      <c r="I12" s="671">
        <v>17.07</v>
      </c>
      <c r="J12" s="663">
        <f t="shared" si="5"/>
        <v>3.1194000000000002</v>
      </c>
      <c r="K12" s="672">
        <v>0.50458000000000003</v>
      </c>
      <c r="L12" s="670">
        <v>29.561889999999998</v>
      </c>
      <c r="M12" s="671">
        <v>2.68</v>
      </c>
      <c r="N12" s="663">
        <f t="shared" si="6"/>
        <v>30.066469999999999</v>
      </c>
      <c r="P12" s="665">
        <f t="shared" si="7"/>
        <v>0.61670978999999992</v>
      </c>
      <c r="Q12" s="472">
        <f t="shared" si="0"/>
        <v>0.49443767100000002</v>
      </c>
      <c r="R12" s="666">
        <f t="shared" si="1"/>
        <v>0.79225865200000001</v>
      </c>
      <c r="U12" s="668" t="str">
        <f>INDEX($B$7:$N$20,MATCH(6,$F$47:$F$60,FALSE),1)</f>
        <v>Wessex</v>
      </c>
      <c r="V12" s="673">
        <f>INDEX($B$7:$N$20,MATCH(6,$F$47:$F$60,FALSE),2)</f>
        <v>10.756680000000001</v>
      </c>
      <c r="W12" s="674">
        <f>INDEX($B$7:$N$20,MATCH(6,$F$47:$F$60,FALSE),3)</f>
        <v>90.090509999999995</v>
      </c>
      <c r="X12" s="675">
        <f>INDEX($B$7:$N$20,MATCH(6,$F$47:$F$60,FALSE),4)</f>
        <v>1.65</v>
      </c>
      <c r="Y12" s="663">
        <f>INDEX($B$7:$N$20,MATCH(6,$F$47:$F$60,FALSE),5)</f>
        <v>100.84719</v>
      </c>
      <c r="Z12" s="673">
        <f>INDEX($B$7:$N$20,MATCH(6,$F$47:$F$60,FALSE),6)</f>
        <v>6.0478100000000001</v>
      </c>
      <c r="AA12" s="674">
        <f>INDEX($B$7:$N$20,MATCH(6,$F$47:$F$60,FALSE),7)</f>
        <v>14.57615</v>
      </c>
      <c r="AB12" s="675">
        <f>INDEX($B$7:$N$20,MATCH(6,$F$47:$F$60,FALSE),8)</f>
        <v>5.34</v>
      </c>
      <c r="AC12" s="663">
        <f>INDEX($B$7:$N$20,MATCH(6,$F$47:$F$60,FALSE),9)</f>
        <v>20.62396</v>
      </c>
      <c r="AD12" s="676">
        <f>INDEX($B$7:$N$20,MATCH(6,$F$47:$F$60,FALSE),10)</f>
        <v>4.7088700000000001</v>
      </c>
      <c r="AE12" s="674">
        <f>INDEX($B$7:$N$20,MATCH(6,$F$47:$F$60,FALSE),11)</f>
        <v>75.695740000000001</v>
      </c>
      <c r="AF12" s="675">
        <f>INDEX($B$7:$N$20,MATCH(6,$F$47:$F$60,FALSE),12)</f>
        <v>2.08</v>
      </c>
      <c r="AG12" s="663">
        <f>INDEX($B$7:$N$20,MATCH(6,$F$47:$F$60,FALSE),13)</f>
        <v>80.404610000000005</v>
      </c>
      <c r="AI12" s="665">
        <f t="shared" si="8"/>
        <v>1.486493415</v>
      </c>
      <c r="AJ12" s="472">
        <f t="shared" si="2"/>
        <v>0.77836640999999995</v>
      </c>
      <c r="AK12" s="666">
        <f t="shared" si="3"/>
        <v>1.5744713920000002</v>
      </c>
    </row>
    <row r="13" spans="2:37" ht="15" customHeight="1" x14ac:dyDescent="0.2">
      <c r="B13" s="668" t="s">
        <v>306</v>
      </c>
      <c r="C13" s="669">
        <v>5.3738100000000006</v>
      </c>
      <c r="D13" s="670">
        <v>91.230199999999996</v>
      </c>
      <c r="E13" s="671">
        <v>2.84</v>
      </c>
      <c r="F13" s="663">
        <f t="shared" si="4"/>
        <v>96.604010000000002</v>
      </c>
      <c r="G13" s="669">
        <v>2.5344600000000002</v>
      </c>
      <c r="H13" s="670">
        <v>7.7100400000000002</v>
      </c>
      <c r="I13" s="671">
        <v>8.5500000000000007</v>
      </c>
      <c r="J13" s="663">
        <f t="shared" si="5"/>
        <v>10.2445</v>
      </c>
      <c r="K13" s="672">
        <v>2.83935</v>
      </c>
      <c r="L13" s="670">
        <v>83.496759999999995</v>
      </c>
      <c r="M13" s="671">
        <v>3.14</v>
      </c>
      <c r="N13" s="663">
        <f t="shared" si="6"/>
        <v>86.336109999999991</v>
      </c>
      <c r="P13" s="665">
        <f t="shared" si="7"/>
        <v>2.5909376799999997</v>
      </c>
      <c r="Q13" s="472">
        <f t="shared" si="0"/>
        <v>0.65920842000000013</v>
      </c>
      <c r="R13" s="666">
        <f t="shared" si="1"/>
        <v>2.6217982639999997</v>
      </c>
      <c r="U13" s="668" t="str">
        <f>INDEX($B$7:$N$20,MATCH(7,$F$47:$F$60,FALSE),1)</f>
        <v>North East</v>
      </c>
      <c r="V13" s="673">
        <f>INDEX($B$7:$N$20,MATCH(7,$F$47:$F$60,FALSE),2)</f>
        <v>40.127139999999997</v>
      </c>
      <c r="W13" s="674">
        <f>INDEX($B$7:$N$20,MATCH(7,$F$47:$F$60,FALSE),3)</f>
        <v>60.216670000000001</v>
      </c>
      <c r="X13" s="675">
        <f>INDEX($B$7:$N$20,MATCH(7,$F$47:$F$60,FALSE),4)</f>
        <v>2.5299999999999998</v>
      </c>
      <c r="Y13" s="663">
        <f>INDEX($B$7:$N$20,MATCH(7,$F$47:$F$60,FALSE),5)</f>
        <v>100.34380999999999</v>
      </c>
      <c r="Z13" s="673">
        <f>INDEX($B$7:$N$20,MATCH(7,$F$47:$F$60,FALSE),6)</f>
        <v>37.577539999999999</v>
      </c>
      <c r="AA13" s="674">
        <f>INDEX($B$7:$N$20,MATCH(7,$F$47:$F$60,FALSE),7)</f>
        <v>23.771470000000001</v>
      </c>
      <c r="AB13" s="675">
        <f>INDEX($B$7:$N$20,MATCH(7,$F$47:$F$60,FALSE),8)</f>
        <v>5.88</v>
      </c>
      <c r="AC13" s="663">
        <f>INDEX($B$7:$N$20,MATCH(7,$F$47:$F$60,FALSE),9)</f>
        <v>61.34901</v>
      </c>
      <c r="AD13" s="676">
        <f>INDEX($B$7:$N$20,MATCH(7,$F$47:$F$60,FALSE),10)</f>
        <v>2.5495999999999999</v>
      </c>
      <c r="AE13" s="674">
        <f>INDEX($B$7:$N$20,MATCH(7,$F$47:$F$60,FALSE),11)</f>
        <v>36.332360000000001</v>
      </c>
      <c r="AF13" s="675">
        <f>INDEX($B$7:$N$20,MATCH(7,$F$47:$F$60,FALSE),12)</f>
        <v>4.5199999999999996</v>
      </c>
      <c r="AG13" s="663">
        <f>INDEX($B$7:$N$20,MATCH(7,$F$47:$F$60,FALSE),13)</f>
        <v>38.881959999999999</v>
      </c>
      <c r="AI13" s="665">
        <f t="shared" si="8"/>
        <v>1.5234817509999998</v>
      </c>
      <c r="AJ13" s="472">
        <f t="shared" si="2"/>
        <v>1.3977624360000001</v>
      </c>
      <c r="AK13" s="666">
        <f t="shared" si="3"/>
        <v>1.6422226719999999</v>
      </c>
    </row>
    <row r="14" spans="2:37" ht="15" customHeight="1" x14ac:dyDescent="0.2">
      <c r="B14" s="668" t="s">
        <v>290</v>
      </c>
      <c r="C14" s="669">
        <v>8.6968199999999989</v>
      </c>
      <c r="D14" s="670">
        <v>38.227789999999999</v>
      </c>
      <c r="E14" s="671">
        <v>1.84</v>
      </c>
      <c r="F14" s="663">
        <f t="shared" si="4"/>
        <v>46.924610000000001</v>
      </c>
      <c r="G14" s="669">
        <v>3.00421</v>
      </c>
      <c r="H14" s="670">
        <v>5.1026300000000004</v>
      </c>
      <c r="I14" s="671">
        <v>12.79</v>
      </c>
      <c r="J14" s="663">
        <f t="shared" si="5"/>
        <v>8.10684</v>
      </c>
      <c r="K14" s="672">
        <v>5.6926099999999993</v>
      </c>
      <c r="L14" s="670">
        <v>33.064999999999998</v>
      </c>
      <c r="M14" s="671">
        <v>2.74</v>
      </c>
      <c r="N14" s="663">
        <f t="shared" si="6"/>
        <v>38.75761</v>
      </c>
      <c r="P14" s="665">
        <f t="shared" si="7"/>
        <v>0.70339133599999992</v>
      </c>
      <c r="Q14" s="472">
        <f t="shared" si="0"/>
        <v>0.65262637700000004</v>
      </c>
      <c r="R14" s="666">
        <f t="shared" si="1"/>
        <v>0.90598100000000004</v>
      </c>
      <c r="U14" s="668" t="str">
        <f>INDEX($B$7:$N$20,MATCH(8,$F$47:$F$60,FALSE),1)</f>
        <v>Kent South London and East Sussex</v>
      </c>
      <c r="V14" s="673">
        <f>INDEX($B$7:$N$20,MATCH(8,$F$47:$F$60,FALSE),2)</f>
        <v>5.3738100000000006</v>
      </c>
      <c r="W14" s="674">
        <f>INDEX($B$7:$N$20,MATCH(8,$F$47:$F$60,FALSE),3)</f>
        <v>91.230199999999996</v>
      </c>
      <c r="X14" s="675">
        <f>INDEX($B$7:$N$20,MATCH(8,$F$47:$F$60,FALSE),4)</f>
        <v>2.84</v>
      </c>
      <c r="Y14" s="663">
        <f>INDEX($B$7:$N$20,MATCH(8,$F$47:$F$60,FALSE),5)</f>
        <v>96.604010000000002</v>
      </c>
      <c r="Z14" s="673">
        <f>INDEX($B$7:$N$20,MATCH(8,$F$47:$F$60,FALSE),6)</f>
        <v>2.5344600000000002</v>
      </c>
      <c r="AA14" s="674">
        <f>INDEX($B$7:$N$20,MATCH(8,$F$47:$F$60,FALSE),7)</f>
        <v>7.7100400000000002</v>
      </c>
      <c r="AB14" s="675">
        <f>INDEX($B$7:$N$20,MATCH(8,$F$47:$F$60,FALSE),8)</f>
        <v>8.5500000000000007</v>
      </c>
      <c r="AC14" s="663">
        <f>INDEX($B$7:$N$20,MATCH(8,$F$47:$F$60,FALSE),9)</f>
        <v>10.2445</v>
      </c>
      <c r="AD14" s="676">
        <f>INDEX($B$7:$N$20,MATCH(8,$F$47:$F$60,FALSE),10)</f>
        <v>2.83935</v>
      </c>
      <c r="AE14" s="674">
        <f>INDEX($B$7:$N$20,MATCH(8,$F$47:$F$60,FALSE),11)</f>
        <v>83.496759999999995</v>
      </c>
      <c r="AF14" s="675">
        <f>INDEX($B$7:$N$20,MATCH(8,$F$47:$F$60,FALSE),12)</f>
        <v>3.14</v>
      </c>
      <c r="AG14" s="663">
        <f>INDEX($B$7:$N$20,MATCH(8,$F$47:$F$60,FALSE),13)</f>
        <v>86.336109999999991</v>
      </c>
      <c r="AI14" s="665">
        <f t="shared" si="8"/>
        <v>2.5909376799999997</v>
      </c>
      <c r="AJ14" s="472">
        <f t="shared" si="2"/>
        <v>0.65920842000000013</v>
      </c>
      <c r="AK14" s="666">
        <f t="shared" si="3"/>
        <v>2.6217982639999997</v>
      </c>
    </row>
    <row r="15" spans="2:37" ht="15" customHeight="1" x14ac:dyDescent="0.2">
      <c r="B15" s="668" t="s">
        <v>291</v>
      </c>
      <c r="C15" s="669">
        <v>40.127139999999997</v>
      </c>
      <c r="D15" s="670">
        <v>60.216670000000001</v>
      </c>
      <c r="E15" s="671">
        <v>2.5299999999999998</v>
      </c>
      <c r="F15" s="663">
        <f t="shared" si="4"/>
        <v>100.34380999999999</v>
      </c>
      <c r="G15" s="669">
        <v>37.577539999999999</v>
      </c>
      <c r="H15" s="670">
        <v>23.771470000000001</v>
      </c>
      <c r="I15" s="671">
        <v>5.88</v>
      </c>
      <c r="J15" s="663">
        <f t="shared" si="5"/>
        <v>61.34901</v>
      </c>
      <c r="K15" s="672">
        <v>2.5495999999999999</v>
      </c>
      <c r="L15" s="670">
        <v>36.332360000000001</v>
      </c>
      <c r="M15" s="671">
        <v>4.5199999999999996</v>
      </c>
      <c r="N15" s="663">
        <f t="shared" si="6"/>
        <v>38.881959999999999</v>
      </c>
      <c r="P15" s="665">
        <f t="shared" si="7"/>
        <v>1.5234817509999998</v>
      </c>
      <c r="Q15" s="472">
        <f t="shared" si="0"/>
        <v>1.3977624360000001</v>
      </c>
      <c r="R15" s="666">
        <f t="shared" si="1"/>
        <v>1.6422226719999999</v>
      </c>
      <c r="U15" s="668" t="str">
        <f>INDEX($B$7:$N$20,MATCH(9,$F$47:$F$60,FALSE),1)</f>
        <v>Thames</v>
      </c>
      <c r="V15" s="673">
        <f>INDEX($B$7:$N$20,MATCH(9,$F$47:$F$60,FALSE),2)</f>
        <v>2.5629</v>
      </c>
      <c r="W15" s="674">
        <f>INDEX($B$7:$N$20,MATCH(9,$F$47:$F$60,FALSE),3)</f>
        <v>86.046720000000008</v>
      </c>
      <c r="X15" s="675">
        <f>INDEX($B$7:$N$20,MATCH(9,$F$47:$F$60,FALSE),4)</f>
        <v>0.94</v>
      </c>
      <c r="Y15" s="663">
        <f>INDEX($B$7:$N$20,MATCH(9,$F$47:$F$60,FALSE),5)</f>
        <v>88.609620000000007</v>
      </c>
      <c r="Z15" s="673">
        <f>INDEX($B$7:$N$20,MATCH(9,$F$47:$F$60,FALSE),6)</f>
        <v>1.1405399999999999</v>
      </c>
      <c r="AA15" s="674">
        <f>INDEX($B$7:$N$20,MATCH(9,$F$47:$F$60,FALSE),7)</f>
        <v>14.0055</v>
      </c>
      <c r="AB15" s="675">
        <f>INDEX($B$7:$N$20,MATCH(9,$F$47:$F$60,FALSE),8)</f>
        <v>5.93</v>
      </c>
      <c r="AC15" s="663">
        <f>INDEX($B$7:$N$20,MATCH(9,$F$47:$F$60,FALSE),9)</f>
        <v>15.146039999999999</v>
      </c>
      <c r="AD15" s="676">
        <f>INDEX($B$7:$N$20,MATCH(9,$F$47:$F$60,FALSE),10)</f>
        <v>1.42235</v>
      </c>
      <c r="AE15" s="674">
        <f>INDEX($B$7:$N$20,MATCH(9,$F$47:$F$60,FALSE),11)</f>
        <v>72.163589999999999</v>
      </c>
      <c r="AF15" s="675">
        <f>INDEX($B$7:$N$20,MATCH(9,$F$47:$F$60,FALSE),12)</f>
        <v>1.51</v>
      </c>
      <c r="AG15" s="663">
        <f>INDEX($B$7:$N$20,MATCH(9,$F$47:$F$60,FALSE),13)</f>
        <v>73.585939999999994</v>
      </c>
      <c r="AI15" s="665">
        <f t="shared" si="8"/>
        <v>0.80883916800000011</v>
      </c>
      <c r="AJ15" s="472">
        <f t="shared" si="2"/>
        <v>0.83052614999999985</v>
      </c>
      <c r="AK15" s="666">
        <f t="shared" si="3"/>
        <v>1.0896702089999999</v>
      </c>
    </row>
    <row r="16" spans="2:37" ht="15" customHeight="1" x14ac:dyDescent="0.2">
      <c r="B16" s="668" t="s">
        <v>292</v>
      </c>
      <c r="C16" s="669">
        <v>21.131790000000002</v>
      </c>
      <c r="D16" s="670">
        <v>93.152839999999998</v>
      </c>
      <c r="E16" s="671">
        <v>1.5</v>
      </c>
      <c r="F16" s="663">
        <f t="shared" si="4"/>
        <v>114.28462999999999</v>
      </c>
      <c r="G16" s="669">
        <v>7.6618399999999998</v>
      </c>
      <c r="H16" s="670">
        <v>13.135069999999999</v>
      </c>
      <c r="I16" s="671">
        <v>5.31</v>
      </c>
      <c r="J16" s="663">
        <f t="shared" si="5"/>
        <v>20.796909999999997</v>
      </c>
      <c r="K16" s="672">
        <v>13.469959999999999</v>
      </c>
      <c r="L16" s="670">
        <v>79.923190000000005</v>
      </c>
      <c r="M16" s="671">
        <v>1.91</v>
      </c>
      <c r="N16" s="663">
        <f t="shared" si="6"/>
        <v>93.393150000000006</v>
      </c>
      <c r="P16" s="665">
        <f t="shared" si="7"/>
        <v>1.3972926000000001</v>
      </c>
      <c r="Q16" s="472">
        <f t="shared" si="0"/>
        <v>0.69747221699999984</v>
      </c>
      <c r="R16" s="666">
        <f t="shared" si="1"/>
        <v>1.526532929</v>
      </c>
      <c r="U16" s="668" t="str">
        <f>INDEX($B$7:$N$20,MATCH(10,$F$47:$F$60,FALSE),1)</f>
        <v>Cumbria and Lancashire</v>
      </c>
      <c r="V16" s="673">
        <f>INDEX($B$7:$N$20,MATCH(10,$F$47:$F$60,FALSE),2)</f>
        <v>16.338729999999998</v>
      </c>
      <c r="W16" s="674">
        <f>INDEX($B$7:$N$20,MATCH(10,$F$47:$F$60,FALSE),3)</f>
        <v>59.816089999999996</v>
      </c>
      <c r="X16" s="675">
        <f>INDEX($B$7:$N$20,MATCH(10,$F$47:$F$60,FALSE),4)</f>
        <v>1.7</v>
      </c>
      <c r="Y16" s="663">
        <f>INDEX($B$7:$N$20,MATCH(10,$F$47:$F$60,FALSE),5)</f>
        <v>76.154820000000001</v>
      </c>
      <c r="Z16" s="673">
        <f>INDEX($B$7:$N$20,MATCH(10,$F$47:$F$60,FALSE),6)</f>
        <v>13.633100000000001</v>
      </c>
      <c r="AA16" s="674">
        <f>INDEX($B$7:$N$20,MATCH(10,$F$47:$F$60,FALSE),7)</f>
        <v>17.642330000000001</v>
      </c>
      <c r="AB16" s="675">
        <f>INDEX($B$7:$N$20,MATCH(10,$F$47:$F$60,FALSE),8)</f>
        <v>5.7</v>
      </c>
      <c r="AC16" s="663">
        <f>INDEX($B$7:$N$20,MATCH(10,$F$47:$F$60,FALSE),9)</f>
        <v>31.27543</v>
      </c>
      <c r="AD16" s="676">
        <f>INDEX($B$7:$N$20,MATCH(10,$F$47:$F$60,FALSE),10)</f>
        <v>2.7056399999999998</v>
      </c>
      <c r="AE16" s="674">
        <f>INDEX($B$7:$N$20,MATCH(10,$F$47:$F$60,FALSE),11)</f>
        <v>42.14284</v>
      </c>
      <c r="AF16" s="675">
        <f>INDEX($B$7:$N$20,MATCH(10,$F$47:$F$60,FALSE),12)</f>
        <v>2.77</v>
      </c>
      <c r="AG16" s="663">
        <f>INDEX($B$7:$N$20,MATCH(10,$F$47:$F$60,FALSE),13)</f>
        <v>44.848480000000002</v>
      </c>
      <c r="AI16" s="665">
        <f t="shared" si="8"/>
        <v>1.0168735299999998</v>
      </c>
      <c r="AJ16" s="472">
        <f t="shared" si="2"/>
        <v>1.0056128100000001</v>
      </c>
      <c r="AK16" s="666">
        <f t="shared" si="3"/>
        <v>1.167356668</v>
      </c>
    </row>
    <row r="17" spans="2:37" ht="15" customHeight="1" x14ac:dyDescent="0.2">
      <c r="B17" s="668" t="s">
        <v>293</v>
      </c>
      <c r="C17" s="669">
        <v>2.5629</v>
      </c>
      <c r="D17" s="670">
        <v>86.046720000000008</v>
      </c>
      <c r="E17" s="671">
        <v>0.94</v>
      </c>
      <c r="F17" s="663">
        <f t="shared" si="4"/>
        <v>88.609620000000007</v>
      </c>
      <c r="G17" s="669">
        <v>1.1405399999999999</v>
      </c>
      <c r="H17" s="670">
        <v>14.0055</v>
      </c>
      <c r="I17" s="671">
        <v>5.93</v>
      </c>
      <c r="J17" s="663">
        <f t="shared" si="5"/>
        <v>15.146039999999999</v>
      </c>
      <c r="K17" s="672">
        <v>1.42235</v>
      </c>
      <c r="L17" s="670">
        <v>72.163589999999999</v>
      </c>
      <c r="M17" s="671">
        <v>1.51</v>
      </c>
      <c r="N17" s="663">
        <f t="shared" si="6"/>
        <v>73.585939999999994</v>
      </c>
      <c r="P17" s="665">
        <f t="shared" si="7"/>
        <v>0.80883916800000011</v>
      </c>
      <c r="Q17" s="472">
        <f t="shared" si="0"/>
        <v>0.83052614999999985</v>
      </c>
      <c r="R17" s="666">
        <f t="shared" si="1"/>
        <v>1.0896702089999999</v>
      </c>
      <c r="U17" s="668" t="str">
        <f>INDEX($B$7:$N$20,MATCH(11,$F$47:$F$60,FALSE),1)</f>
        <v>East Midlands</v>
      </c>
      <c r="V17" s="673">
        <f>INDEX($B$7:$N$20,MATCH(11,$F$47:$F$60,FALSE),2)</f>
        <v>6.7304899999999996</v>
      </c>
      <c r="W17" s="674">
        <f>INDEX($B$7:$N$20,MATCH(11,$F$47:$F$60,FALSE),3)</f>
        <v>44.435970000000005</v>
      </c>
      <c r="X17" s="675">
        <f>INDEX($B$7:$N$20,MATCH(11,$F$47:$F$60,FALSE),4)</f>
        <v>1.81</v>
      </c>
      <c r="Y17" s="663">
        <f>INDEX($B$7:$N$20,MATCH(11,$F$47:$F$60,FALSE),5)</f>
        <v>51.166460000000001</v>
      </c>
      <c r="Z17" s="673">
        <f>INDEX($B$7:$N$20,MATCH(11,$F$47:$F$60,FALSE),6)</f>
        <v>4.7160200000000003</v>
      </c>
      <c r="AA17" s="674">
        <f>INDEX($B$7:$N$20,MATCH(11,$F$47:$F$60,FALSE),7)</f>
        <v>7.3907499999999997</v>
      </c>
      <c r="AB17" s="675">
        <f>INDEX($B$7:$N$20,MATCH(11,$F$47:$F$60,FALSE),8)</f>
        <v>10.36</v>
      </c>
      <c r="AC17" s="663">
        <f>INDEX($B$7:$N$20,MATCH(11,$F$47:$F$60,FALSE),9)</f>
        <v>12.106770000000001</v>
      </c>
      <c r="AD17" s="676">
        <f>INDEX($B$7:$N$20,MATCH(11,$F$47:$F$60,FALSE),10)</f>
        <v>2.0144700000000002</v>
      </c>
      <c r="AE17" s="674">
        <f>INDEX($B$7:$N$20,MATCH(11,$F$47:$F$60,FALSE),11)</f>
        <v>37.045209999999997</v>
      </c>
      <c r="AF17" s="675">
        <f>INDEX($B$7:$N$20,MATCH(11,$F$47:$F$60,FALSE),12)</f>
        <v>2.93</v>
      </c>
      <c r="AG17" s="663">
        <f>INDEX($B$7:$N$20,MATCH(11,$F$47:$F$60,FALSE),13)</f>
        <v>39.05968</v>
      </c>
      <c r="AI17" s="665">
        <f t="shared" si="8"/>
        <v>0.80429105700000003</v>
      </c>
      <c r="AJ17" s="472">
        <f t="shared" si="2"/>
        <v>0.76568169999999991</v>
      </c>
      <c r="AK17" s="666">
        <f t="shared" si="3"/>
        <v>1.085424653</v>
      </c>
    </row>
    <row r="18" spans="2:37" ht="15" customHeight="1" x14ac:dyDescent="0.2">
      <c r="B18" s="668" t="s">
        <v>294</v>
      </c>
      <c r="C18" s="669">
        <v>10.756680000000001</v>
      </c>
      <c r="D18" s="670">
        <v>90.090509999999995</v>
      </c>
      <c r="E18" s="671">
        <v>1.65</v>
      </c>
      <c r="F18" s="663">
        <f t="shared" si="4"/>
        <v>100.84719</v>
      </c>
      <c r="G18" s="669">
        <v>6.0478100000000001</v>
      </c>
      <c r="H18" s="670">
        <v>14.57615</v>
      </c>
      <c r="I18" s="671">
        <v>5.34</v>
      </c>
      <c r="J18" s="663">
        <f t="shared" si="5"/>
        <v>20.62396</v>
      </c>
      <c r="K18" s="672">
        <v>4.7088700000000001</v>
      </c>
      <c r="L18" s="670">
        <v>75.695740000000001</v>
      </c>
      <c r="M18" s="671">
        <v>2.08</v>
      </c>
      <c r="N18" s="663">
        <f t="shared" si="6"/>
        <v>80.404610000000005</v>
      </c>
      <c r="P18" s="665">
        <f t="shared" si="7"/>
        <v>1.486493415</v>
      </c>
      <c r="Q18" s="472">
        <f t="shared" si="0"/>
        <v>0.77836640999999995</v>
      </c>
      <c r="R18" s="666">
        <f t="shared" si="1"/>
        <v>1.5744713920000002</v>
      </c>
      <c r="U18" s="668" t="str">
        <f>INDEX($B$7:$N$20,MATCH(12,$F$47:$F$60,FALSE),1)</f>
        <v>Lincolnshire and Northamptonshire</v>
      </c>
      <c r="V18" s="673">
        <f>INDEX($B$7:$N$20,MATCH(12,$F$47:$F$60,FALSE),2)</f>
        <v>8.6968199999999989</v>
      </c>
      <c r="W18" s="674">
        <f>INDEX($B$7:$N$20,MATCH(12,$F$47:$F$60,FALSE),3)</f>
        <v>38.227789999999999</v>
      </c>
      <c r="X18" s="675">
        <f>INDEX($B$7:$N$20,MATCH(12,$F$47:$F$60,FALSE),4)</f>
        <v>1.84</v>
      </c>
      <c r="Y18" s="663">
        <f>INDEX($B$7:$N$20,MATCH(12,$F$47:$F$60,FALSE),5)</f>
        <v>46.924610000000001</v>
      </c>
      <c r="Z18" s="673">
        <f>INDEX($B$7:$N$20,MATCH(12,$F$47:$F$60,FALSE),6)</f>
        <v>3.00421</v>
      </c>
      <c r="AA18" s="674">
        <f>INDEX($B$7:$N$20,MATCH(12,$F$47:$F$60,FALSE),7)</f>
        <v>5.1026300000000004</v>
      </c>
      <c r="AB18" s="675">
        <f>INDEX($B$7:$N$20,MATCH(12,$F$47:$F$60,FALSE),8)</f>
        <v>12.79</v>
      </c>
      <c r="AC18" s="663">
        <f>INDEX($B$7:$N$20,MATCH(12,$F$47:$F$60,FALSE),9)</f>
        <v>8.10684</v>
      </c>
      <c r="AD18" s="676">
        <f>INDEX($B$7:$N$20,MATCH(12,$F$47:$F$60,FALSE),10)</f>
        <v>5.6926099999999993</v>
      </c>
      <c r="AE18" s="674">
        <f>INDEX($B$7:$N$20,MATCH(12,$F$47:$F$60,FALSE),11)</f>
        <v>33.064999999999998</v>
      </c>
      <c r="AF18" s="675">
        <f>INDEX($B$7:$N$20,MATCH(12,$F$47:$F$60,FALSE),12)</f>
        <v>2.74</v>
      </c>
      <c r="AG18" s="663">
        <f>INDEX($B$7:$N$20,MATCH(12,$F$47:$F$60,FALSE),13)</f>
        <v>38.75761</v>
      </c>
      <c r="AI18" s="665">
        <f t="shared" si="8"/>
        <v>0.70339133599999992</v>
      </c>
      <c r="AJ18" s="472">
        <f t="shared" si="2"/>
        <v>0.65262637700000004</v>
      </c>
      <c r="AK18" s="666">
        <f t="shared" si="3"/>
        <v>0.90598100000000004</v>
      </c>
    </row>
    <row r="19" spans="2:37" ht="15" customHeight="1" x14ac:dyDescent="0.2">
      <c r="B19" s="668" t="s">
        <v>295</v>
      </c>
      <c r="C19" s="669">
        <v>19.459019999999999</v>
      </c>
      <c r="D19" s="670">
        <v>111.30824000000001</v>
      </c>
      <c r="E19" s="671">
        <v>1.38</v>
      </c>
      <c r="F19" s="663">
        <f t="shared" si="4"/>
        <v>130.76726000000002</v>
      </c>
      <c r="G19" s="669">
        <v>11.581440000000001</v>
      </c>
      <c r="H19" s="670">
        <v>18.497499999999999</v>
      </c>
      <c r="I19" s="671">
        <v>6.24</v>
      </c>
      <c r="J19" s="663">
        <f t="shared" si="5"/>
        <v>30.078939999999999</v>
      </c>
      <c r="K19" s="672">
        <v>7.87758</v>
      </c>
      <c r="L19" s="670">
        <v>93.086910000000003</v>
      </c>
      <c r="M19" s="671">
        <v>1.87</v>
      </c>
      <c r="N19" s="663">
        <f t="shared" si="6"/>
        <v>100.96449</v>
      </c>
      <c r="P19" s="665">
        <f t="shared" si="7"/>
        <v>1.5360537120000002</v>
      </c>
      <c r="Q19" s="472">
        <f t="shared" si="0"/>
        <v>1.1542439999999998</v>
      </c>
      <c r="R19" s="666">
        <f t="shared" si="1"/>
        <v>1.740725217</v>
      </c>
      <c r="U19" s="668" t="str">
        <f>INDEX($B$7:$N$20,MATCH(13,$F$47:$F$60,FALSE),1)</f>
        <v>Hertfordshire and North London</v>
      </c>
      <c r="V19" s="673">
        <f>INDEX($B$7:$N$20,MATCH(13,$F$47:$F$60,FALSE),2)</f>
        <v>0.72744000000000009</v>
      </c>
      <c r="W19" s="674">
        <f>INDEX($B$7:$N$20,MATCH(13,$F$47:$F$60,FALSE),3)</f>
        <v>32.458410000000001</v>
      </c>
      <c r="X19" s="675">
        <f>INDEX($B$7:$N$20,MATCH(13,$F$47:$F$60,FALSE),4)</f>
        <v>1.9</v>
      </c>
      <c r="Y19" s="663">
        <f>INDEX($B$7:$N$20,MATCH(13,$F$47:$F$60,FALSE),5)</f>
        <v>33.185850000000002</v>
      </c>
      <c r="Z19" s="673">
        <f>INDEX($B$7:$N$20,MATCH(13,$F$47:$F$60,FALSE),6)</f>
        <v>0.22287000000000001</v>
      </c>
      <c r="AA19" s="674">
        <f>INDEX($B$7:$N$20,MATCH(13,$F$47:$F$60,FALSE),7)</f>
        <v>2.8965300000000003</v>
      </c>
      <c r="AB19" s="675">
        <f>INDEX($B$7:$N$20,MATCH(13,$F$47:$F$60,FALSE),8)</f>
        <v>17.07</v>
      </c>
      <c r="AC19" s="663">
        <f>INDEX($B$7:$N$20,MATCH(13,$F$47:$F$60,FALSE),9)</f>
        <v>3.1194000000000002</v>
      </c>
      <c r="AD19" s="676">
        <f>INDEX($B$7:$N$20,MATCH(13,$F$47:$F$60,FALSE),10)</f>
        <v>0.50458000000000003</v>
      </c>
      <c r="AE19" s="674">
        <f>INDEX($B$7:$N$20,MATCH(13,$F$47:$F$60,FALSE),11)</f>
        <v>29.561889999999998</v>
      </c>
      <c r="AF19" s="675">
        <f>INDEX($B$7:$N$20,MATCH(13,$F$47:$F$60,FALSE),12)</f>
        <v>2.68</v>
      </c>
      <c r="AG19" s="663">
        <f>INDEX($B$7:$N$20,MATCH(13,$F$47:$F$60,FALSE),13)</f>
        <v>30.066469999999999</v>
      </c>
      <c r="AI19" s="665">
        <f t="shared" si="8"/>
        <v>0.61670978999999992</v>
      </c>
      <c r="AJ19" s="472">
        <f t="shared" si="2"/>
        <v>0.49443767100000002</v>
      </c>
      <c r="AK19" s="666">
        <f t="shared" si="3"/>
        <v>0.79225865200000001</v>
      </c>
    </row>
    <row r="20" spans="2:37" ht="15" customHeight="1" thickBot="1" x14ac:dyDescent="0.25">
      <c r="B20" s="677" t="s">
        <v>296</v>
      </c>
      <c r="C20" s="678">
        <v>16.078620000000001</v>
      </c>
      <c r="D20" s="679">
        <v>84.771550000000005</v>
      </c>
      <c r="E20" s="680">
        <v>1.6</v>
      </c>
      <c r="F20" s="681">
        <f t="shared" si="4"/>
        <v>100.85017000000001</v>
      </c>
      <c r="G20" s="678">
        <v>13.151479999999999</v>
      </c>
      <c r="H20" s="679">
        <v>18.289249999999999</v>
      </c>
      <c r="I20" s="680">
        <v>4.3099999999999996</v>
      </c>
      <c r="J20" s="681">
        <f t="shared" si="5"/>
        <v>31.440729999999999</v>
      </c>
      <c r="K20" s="682">
        <v>2.9271400000000001</v>
      </c>
      <c r="L20" s="679">
        <v>66.428780000000003</v>
      </c>
      <c r="M20" s="680">
        <v>2.23</v>
      </c>
      <c r="N20" s="681">
        <f t="shared" si="6"/>
        <v>69.355919999999998</v>
      </c>
      <c r="P20" s="683">
        <f t="shared" si="7"/>
        <v>1.3563448000000002</v>
      </c>
      <c r="Q20" s="684">
        <f t="shared" si="0"/>
        <v>0.78826667499999981</v>
      </c>
      <c r="R20" s="685">
        <f t="shared" si="1"/>
        <v>1.4813617940000001</v>
      </c>
      <c r="U20" s="677" t="str">
        <f>INDEX($B$7:$N$20,MATCH(14,$F$47:$F$60,FALSE),1)</f>
        <v>Greater Manchester Merseyside and Cheshire</v>
      </c>
      <c r="V20" s="686">
        <f>INDEX($B$7:$N$20,MATCH(14,$F$47:$F$60,FALSE),2)</f>
        <v>1.2154100000000001</v>
      </c>
      <c r="W20" s="687">
        <f>INDEX($B$7:$N$20,MATCH(14,$F$47:$F$60,FALSE),3)</f>
        <v>25.682310000000001</v>
      </c>
      <c r="X20" s="688">
        <f>INDEX($B$7:$N$20,MATCH(14,$F$47:$F$60,FALSE),4)</f>
        <v>15.99</v>
      </c>
      <c r="Y20" s="681">
        <f>INDEX($B$7:$N$20,MATCH(14,$F$47:$F$60,FALSE),5)</f>
        <v>26.89772</v>
      </c>
      <c r="Z20" s="686">
        <f>INDEX($B$7:$N$20,MATCH(14,$F$47:$F$60,FALSE),6)</f>
        <v>0.58132000000000006</v>
      </c>
      <c r="AA20" s="687">
        <f>INDEX($B$7:$N$20,MATCH(14,$F$47:$F$60,FALSE),7)</f>
        <v>2.0668699999999998</v>
      </c>
      <c r="AB20" s="688">
        <f>INDEX($B$7:$N$20,MATCH(14,$F$47:$F$60,FALSE),8)</f>
        <v>19.760000000000002</v>
      </c>
      <c r="AC20" s="681">
        <f>INDEX($B$7:$N$20,MATCH(14,$F$47:$F$60,FALSE),9)</f>
        <v>2.6481899999999996</v>
      </c>
      <c r="AD20" s="689">
        <f>INDEX($B$7:$N$20,MATCH(14,$F$47:$F$60,FALSE),10)</f>
        <v>0.63409000000000004</v>
      </c>
      <c r="AE20" s="687">
        <f>INDEX($B$7:$N$20,MATCH(14,$F$47:$F$60,FALSE),11)</f>
        <v>23.61544</v>
      </c>
      <c r="AF20" s="688">
        <f>INDEX($B$7:$N$20,MATCH(14,$F$47:$F$60,FALSE),12)</f>
        <v>17.37</v>
      </c>
      <c r="AG20" s="681">
        <f>INDEX($B$7:$N$20,MATCH(14,$F$47:$F$60,FALSE),13)</f>
        <v>24.24953</v>
      </c>
      <c r="AI20" s="683">
        <f t="shared" si="8"/>
        <v>4.1066013689999998</v>
      </c>
      <c r="AJ20" s="684">
        <f t="shared" si="2"/>
        <v>0.40841351199999998</v>
      </c>
      <c r="AK20" s="685">
        <f t="shared" si="3"/>
        <v>4.102001928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 t="str">
        <f>Index!$B$4</f>
        <v>England</v>
      </c>
      <c r="C26" s="660">
        <v>8.4943399999999993</v>
      </c>
      <c r="D26" s="661">
        <v>9.8433299999999999</v>
      </c>
      <c r="E26" s="662">
        <v>12.213512707120753</v>
      </c>
      <c r="F26" s="663">
        <f>C26+D26</f>
        <v>18.337669999999999</v>
      </c>
      <c r="G26" s="664"/>
      <c r="H26" s="661"/>
      <c r="I26" s="662"/>
      <c r="J26" s="696"/>
      <c r="K26" s="664"/>
      <c r="L26" s="661"/>
      <c r="M26" s="662"/>
      <c r="N26" s="696"/>
      <c r="P26" s="665">
        <f>D26*E26/100</f>
        <v>1.2022163603538292</v>
      </c>
      <c r="Q26" s="472"/>
      <c r="R26" s="666"/>
    </row>
    <row r="27" spans="2:37" ht="15" customHeight="1" x14ac:dyDescent="0.2">
      <c r="B27" s="668" t="s">
        <v>286</v>
      </c>
      <c r="C27" s="669">
        <v>1.17967</v>
      </c>
      <c r="D27" s="670">
        <v>1.3520699999999999</v>
      </c>
      <c r="E27" s="671">
        <v>31.35</v>
      </c>
      <c r="F27" s="663">
        <f>C27+D27</f>
        <v>2.5317400000000001</v>
      </c>
      <c r="G27" s="672"/>
      <c r="H27" s="670"/>
      <c r="I27" s="671"/>
      <c r="J27" s="696"/>
      <c r="K27" s="672"/>
      <c r="L27" s="670"/>
      <c r="M27" s="671"/>
      <c r="N27" s="696"/>
      <c r="P27" s="665">
        <f>D27*E27/100</f>
        <v>0.42387394499999997</v>
      </c>
      <c r="Q27" s="472"/>
      <c r="R27" s="666"/>
    </row>
    <row r="28" spans="2:37" ht="15" customHeight="1" x14ac:dyDescent="0.2">
      <c r="B28" s="668" t="s">
        <v>307</v>
      </c>
      <c r="C28" s="669">
        <v>0.57008999999999999</v>
      </c>
      <c r="D28" s="670">
        <v>0.81649000000000005</v>
      </c>
      <c r="E28" s="671">
        <v>35.89</v>
      </c>
      <c r="F28" s="663">
        <f t="shared" ref="F28:F40" si="9">C28+D28</f>
        <v>1.3865799999999999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ref="P28:P40" si="10">D28*E28/100</f>
        <v>0.29303826100000002</v>
      </c>
      <c r="Q28" s="472"/>
      <c r="R28" s="666"/>
    </row>
    <row r="29" spans="2:37" ht="15" customHeight="1" x14ac:dyDescent="0.2">
      <c r="B29" s="668" t="s">
        <v>287</v>
      </c>
      <c r="C29" s="669">
        <v>0.68840000000000001</v>
      </c>
      <c r="D29" s="670">
        <v>0.85301000000000005</v>
      </c>
      <c r="E29" s="671">
        <v>50.05</v>
      </c>
      <c r="F29" s="663">
        <f t="shared" si="9"/>
        <v>1.5414099999999999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10"/>
        <v>0.42693150499999999</v>
      </c>
      <c r="Q29" s="472"/>
      <c r="R29" s="666"/>
    </row>
    <row r="30" spans="2:37" ht="15" customHeight="1" x14ac:dyDescent="0.2">
      <c r="B30" s="668" t="s">
        <v>288</v>
      </c>
      <c r="C30" s="669">
        <v>0.33438999999999997</v>
      </c>
      <c r="D30" s="670">
        <v>0.29669999999999996</v>
      </c>
      <c r="E30" s="671">
        <v>80.790000000000006</v>
      </c>
      <c r="F30" s="663">
        <f t="shared" si="9"/>
        <v>0.63108999999999993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10"/>
        <v>0.23970392999999998</v>
      </c>
      <c r="Q30" s="472"/>
      <c r="R30" s="666"/>
    </row>
    <row r="31" spans="2:37" ht="15" customHeight="1" x14ac:dyDescent="0.2">
      <c r="B31" s="668" t="s">
        <v>305</v>
      </c>
      <c r="C31" s="669">
        <v>1.443E-2</v>
      </c>
      <c r="D31" s="670">
        <v>3.2640000000000002E-2</v>
      </c>
      <c r="E31" s="671">
        <v>93.36</v>
      </c>
      <c r="F31" s="663">
        <f t="shared" si="9"/>
        <v>4.7070000000000001E-2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10"/>
        <v>3.0472704000000003E-2</v>
      </c>
      <c r="Q31" s="472"/>
      <c r="R31" s="666"/>
    </row>
    <row r="32" spans="2:37" ht="15" customHeight="1" x14ac:dyDescent="0.2">
      <c r="B32" s="668" t="s">
        <v>289</v>
      </c>
      <c r="C32" s="669">
        <v>3.6900000000000001E-3</v>
      </c>
      <c r="D32" s="670">
        <v>0.11069</v>
      </c>
      <c r="E32" s="671">
        <v>80.53</v>
      </c>
      <c r="F32" s="663">
        <f t="shared" si="9"/>
        <v>0.11438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10"/>
        <v>8.913865700000001E-2</v>
      </c>
      <c r="Q32" s="472"/>
      <c r="R32" s="666"/>
    </row>
    <row r="33" spans="2:18" ht="15" customHeight="1" x14ac:dyDescent="0.2">
      <c r="B33" s="668" t="s">
        <v>306</v>
      </c>
      <c r="C33" s="669">
        <v>6.0729999999999999E-2</v>
      </c>
      <c r="D33" s="670">
        <v>0.78816999999999993</v>
      </c>
      <c r="E33" s="671">
        <v>49.05</v>
      </c>
      <c r="F33" s="663">
        <f t="shared" si="9"/>
        <v>0.84889999999999988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10"/>
        <v>0.38659738499999996</v>
      </c>
      <c r="Q33" s="472"/>
      <c r="R33" s="666"/>
    </row>
    <row r="34" spans="2:18" ht="15" customHeight="1" x14ac:dyDescent="0.2">
      <c r="B34" s="668" t="s">
        <v>290</v>
      </c>
      <c r="C34" s="669">
        <v>0.19596</v>
      </c>
      <c r="D34" s="670">
        <v>0.19735</v>
      </c>
      <c r="E34" s="671">
        <v>51.52</v>
      </c>
      <c r="F34" s="663">
        <f t="shared" si="9"/>
        <v>0.39330999999999999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10"/>
        <v>0.10167472</v>
      </c>
      <c r="Q34" s="472"/>
      <c r="R34" s="666"/>
    </row>
    <row r="35" spans="2:18" ht="15" customHeight="1" x14ac:dyDescent="0.2">
      <c r="B35" s="668" t="s">
        <v>291</v>
      </c>
      <c r="C35" s="669">
        <v>2.3097399999999997</v>
      </c>
      <c r="D35" s="670">
        <v>1.63391</v>
      </c>
      <c r="E35" s="671">
        <v>37.630000000000003</v>
      </c>
      <c r="F35" s="663">
        <f t="shared" si="9"/>
        <v>3.9436499999999999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10"/>
        <v>0.61484033299999996</v>
      </c>
      <c r="Q35" s="472"/>
      <c r="R35" s="666"/>
    </row>
    <row r="36" spans="2:18" ht="15" customHeight="1" x14ac:dyDescent="0.2">
      <c r="B36" s="668" t="s">
        <v>292</v>
      </c>
      <c r="C36" s="669">
        <v>0.54664999999999997</v>
      </c>
      <c r="D36" s="670">
        <v>0.54794000000000009</v>
      </c>
      <c r="E36" s="671">
        <v>37.29</v>
      </c>
      <c r="F36" s="663">
        <f t="shared" si="9"/>
        <v>1.0945900000000002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10"/>
        <v>0.20432682600000004</v>
      </c>
      <c r="Q36" s="472"/>
      <c r="R36" s="666"/>
    </row>
    <row r="37" spans="2:18" ht="15" customHeight="1" x14ac:dyDescent="0.2">
      <c r="B37" s="668" t="s">
        <v>293</v>
      </c>
      <c r="C37" s="669">
        <v>0.21093999999999999</v>
      </c>
      <c r="D37" s="670">
        <v>0.76591999999999993</v>
      </c>
      <c r="E37" s="671">
        <v>44.86</v>
      </c>
      <c r="F37" s="663">
        <f t="shared" si="9"/>
        <v>0.97685999999999995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10"/>
        <v>0.34359171199999999</v>
      </c>
      <c r="Q37" s="472"/>
      <c r="R37" s="666"/>
    </row>
    <row r="38" spans="2:18" ht="15" customHeight="1" x14ac:dyDescent="0.2">
      <c r="B38" s="668" t="s">
        <v>294</v>
      </c>
      <c r="C38" s="669">
        <v>0.21414</v>
      </c>
      <c r="D38" s="670">
        <v>0.41102</v>
      </c>
      <c r="E38" s="671">
        <v>42.96</v>
      </c>
      <c r="F38" s="663">
        <f t="shared" si="9"/>
        <v>0.62515999999999994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10"/>
        <v>0.17657419199999999</v>
      </c>
      <c r="Q38" s="472"/>
      <c r="R38" s="666"/>
    </row>
    <row r="39" spans="2:18" ht="15" customHeight="1" x14ac:dyDescent="0.2">
      <c r="B39" s="668" t="s">
        <v>295</v>
      </c>
      <c r="C39" s="669">
        <v>0.92698000000000003</v>
      </c>
      <c r="D39" s="670">
        <v>0.36718000000000001</v>
      </c>
      <c r="E39" s="671">
        <v>47.47</v>
      </c>
      <c r="F39" s="663">
        <f t="shared" si="9"/>
        <v>1.29416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10"/>
        <v>0.17430034599999999</v>
      </c>
      <c r="Q39" s="472"/>
      <c r="R39" s="666"/>
    </row>
    <row r="40" spans="2:18" ht="15" customHeight="1" thickBot="1" x14ac:dyDescent="0.25">
      <c r="B40" s="677" t="s">
        <v>296</v>
      </c>
      <c r="C40" s="678">
        <v>1.2385299999999999</v>
      </c>
      <c r="D40" s="679">
        <v>1.6702399999999999</v>
      </c>
      <c r="E40" s="680">
        <v>24.83</v>
      </c>
      <c r="F40" s="681">
        <f t="shared" si="9"/>
        <v>2.9087699999999996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10"/>
        <v>0.41472059199999994</v>
      </c>
      <c r="Q40" s="684"/>
      <c r="R40" s="685"/>
    </row>
    <row r="42" spans="2:18" ht="15" customHeight="1" thickBot="1" x14ac:dyDescent="0.25"/>
    <row r="43" spans="2:18" ht="15" customHeight="1" x14ac:dyDescent="0.2">
      <c r="B43" s="1000" t="s">
        <v>753</v>
      </c>
      <c r="C43" s="1002" t="s">
        <v>106</v>
      </c>
      <c r="D43" s="1002"/>
      <c r="E43" s="1002"/>
      <c r="F43" s="1002"/>
      <c r="G43" s="1002" t="s">
        <v>92</v>
      </c>
      <c r="H43" s="1002"/>
      <c r="I43" s="1002"/>
      <c r="J43" s="1002"/>
      <c r="K43" s="1002" t="s">
        <v>105</v>
      </c>
      <c r="L43" s="1002"/>
      <c r="M43" s="1002"/>
      <c r="N43" s="1002"/>
      <c r="P43" s="1003" t="s">
        <v>754</v>
      </c>
      <c r="Q43" s="996" t="s">
        <v>755</v>
      </c>
      <c r="R43" s="998" t="s">
        <v>756</v>
      </c>
    </row>
    <row r="44" spans="2:18" ht="15" customHeight="1" x14ac:dyDescent="0.2">
      <c r="B44" s="1000"/>
      <c r="C44" s="653" t="s">
        <v>78</v>
      </c>
      <c r="D44" s="653" t="s">
        <v>309</v>
      </c>
      <c r="E44" s="653"/>
      <c r="F44" s="653" t="s">
        <v>80</v>
      </c>
      <c r="G44" s="653" t="s">
        <v>78</v>
      </c>
      <c r="H44" s="653" t="s">
        <v>309</v>
      </c>
      <c r="I44" s="653"/>
      <c r="J44" s="653" t="s">
        <v>80</v>
      </c>
      <c r="K44" s="653" t="s">
        <v>78</v>
      </c>
      <c r="L44" s="653" t="s">
        <v>309</v>
      </c>
      <c r="M44" s="653"/>
      <c r="N44" s="653" t="s">
        <v>80</v>
      </c>
      <c r="P44" s="1004"/>
      <c r="Q44" s="997"/>
      <c r="R44" s="999"/>
    </row>
    <row r="45" spans="2:18" ht="15" customHeight="1" thickBot="1" x14ac:dyDescent="0.25">
      <c r="B45" s="1001"/>
      <c r="C45" s="654" t="s">
        <v>758</v>
      </c>
      <c r="D45" s="654" t="s">
        <v>758</v>
      </c>
      <c r="E45" s="655"/>
      <c r="F45" s="654" t="s">
        <v>758</v>
      </c>
      <c r="G45" s="654" t="s">
        <v>757</v>
      </c>
      <c r="H45" s="654" t="s">
        <v>757</v>
      </c>
      <c r="I45" s="655" t="s">
        <v>82</v>
      </c>
      <c r="J45" s="654" t="s">
        <v>757</v>
      </c>
      <c r="K45" s="654" t="s">
        <v>757</v>
      </c>
      <c r="L45" s="654" t="s">
        <v>757</v>
      </c>
      <c r="M45" s="655" t="s">
        <v>82</v>
      </c>
      <c r="N45" s="654" t="s">
        <v>757</v>
      </c>
      <c r="P45" s="656"/>
      <c r="Q45" s="657"/>
      <c r="R45" s="658"/>
    </row>
    <row r="46" spans="2:18" ht="15" customHeight="1" x14ac:dyDescent="0.2">
      <c r="B46" s="659" t="str">
        <f>Index!$B$4</f>
        <v>England</v>
      </c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 t="s">
        <v>286</v>
      </c>
      <c r="C47" s="697">
        <f>_xlfn.RANK.EQ(C7,$C$7:$C$20,0)</f>
        <v>5</v>
      </c>
      <c r="D47" s="698">
        <f>_xlfn.RANK.EQ(D7,$D$7:$D$20,0)</f>
        <v>10</v>
      </c>
      <c r="E47" s="671"/>
      <c r="F47" s="699">
        <f>_xlfn.RANK.EQ(F7,$F$7:$F$20,0)</f>
        <v>10</v>
      </c>
      <c r="G47" s="697">
        <f>_xlfn.RANK.EQ(G7,$G$7:$G$20,0)</f>
        <v>3</v>
      </c>
      <c r="H47" s="698">
        <f>_xlfn.RANK.EQ(H7,$H$7:$H$20,0)</f>
        <v>4</v>
      </c>
      <c r="I47" s="671"/>
      <c r="J47" s="699">
        <f>_xlfn.RANK.EQ(J7,$J$7:$J$20,0)</f>
        <v>4</v>
      </c>
      <c r="K47" s="697">
        <f>_xlfn.RANK.EQ(K7,$K$7:$K$20,0)</f>
        <v>8</v>
      </c>
      <c r="L47" s="698">
        <f>_xlfn.RANK.EQ(L7,$L$7:$L$20,0)</f>
        <v>9</v>
      </c>
      <c r="M47" s="671"/>
      <c r="N47" s="699">
        <f>_xlfn.RANK.EQ(N7,$N$7:$N$20,0)</f>
        <v>9</v>
      </c>
      <c r="P47" s="665"/>
      <c r="Q47" s="472"/>
      <c r="R47" s="666"/>
    </row>
    <row r="48" spans="2:18" ht="15" customHeight="1" x14ac:dyDescent="0.2">
      <c r="B48" s="668" t="s">
        <v>307</v>
      </c>
      <c r="C48" s="697">
        <f t="shared" ref="C48:C60" si="11">_xlfn.RANK.EQ(C8,$C$7:$C$20,0)</f>
        <v>8</v>
      </c>
      <c r="D48" s="698">
        <f t="shared" ref="D48:D60" si="12">_xlfn.RANK.EQ(D8,$D$7:$D$20,0)</f>
        <v>3</v>
      </c>
      <c r="E48" s="671"/>
      <c r="F48" s="699">
        <f t="shared" ref="F48:F60" si="13">_xlfn.RANK.EQ(F8,$F$7:$F$20,0)</f>
        <v>4</v>
      </c>
      <c r="G48" s="697">
        <f t="shared" ref="G48:G60" si="14">_xlfn.RANK.EQ(G8,$G$7:$G$20,0)</f>
        <v>6</v>
      </c>
      <c r="H48" s="698">
        <f t="shared" ref="H48:H60" si="15">_xlfn.RANK.EQ(H8,$H$7:$H$20,0)</f>
        <v>5</v>
      </c>
      <c r="I48" s="671"/>
      <c r="J48" s="699">
        <f t="shared" ref="J48:J60" si="16">_xlfn.RANK.EQ(J8,$J$7:$J$20,0)</f>
        <v>6</v>
      </c>
      <c r="K48" s="697">
        <f t="shared" ref="K48:K60" si="17">_xlfn.RANK.EQ(K8,$K$7:$K$20,0)</f>
        <v>10</v>
      </c>
      <c r="L48" s="698">
        <f t="shared" ref="L48:L60" si="18">_xlfn.RANK.EQ(L8,$L$7:$L$20,0)</f>
        <v>5</v>
      </c>
      <c r="M48" s="671"/>
      <c r="N48" s="699">
        <f t="shared" ref="N48:N60" si="19">_xlfn.RANK.EQ(N8,$N$7:$N$20,0)</f>
        <v>5</v>
      </c>
      <c r="P48" s="665"/>
      <c r="Q48" s="472"/>
      <c r="R48" s="666"/>
    </row>
    <row r="49" spans="2:18" ht="15" customHeight="1" x14ac:dyDescent="0.2">
      <c r="B49" s="668" t="s">
        <v>287</v>
      </c>
      <c r="C49" s="697">
        <f t="shared" si="11"/>
        <v>2</v>
      </c>
      <c r="D49" s="698">
        <f t="shared" si="12"/>
        <v>2</v>
      </c>
      <c r="E49" s="671"/>
      <c r="F49" s="699">
        <f t="shared" si="13"/>
        <v>2</v>
      </c>
      <c r="G49" s="697">
        <f t="shared" si="14"/>
        <v>2</v>
      </c>
      <c r="H49" s="698">
        <f t="shared" si="15"/>
        <v>6</v>
      </c>
      <c r="I49" s="671"/>
      <c r="J49" s="699">
        <f t="shared" si="16"/>
        <v>2</v>
      </c>
      <c r="K49" s="697">
        <f t="shared" si="17"/>
        <v>5</v>
      </c>
      <c r="L49" s="698">
        <f t="shared" si="18"/>
        <v>2</v>
      </c>
      <c r="M49" s="671"/>
      <c r="N49" s="699">
        <f t="shared" si="19"/>
        <v>3</v>
      </c>
      <c r="P49" s="665"/>
      <c r="Q49" s="472"/>
      <c r="R49" s="666"/>
    </row>
    <row r="50" spans="2:18" ht="15" customHeight="1" x14ac:dyDescent="0.2">
      <c r="B50" s="668" t="s">
        <v>288</v>
      </c>
      <c r="C50" s="697">
        <f t="shared" si="11"/>
        <v>10</v>
      </c>
      <c r="D50" s="698">
        <f t="shared" si="12"/>
        <v>11</v>
      </c>
      <c r="E50" s="671"/>
      <c r="F50" s="699">
        <f t="shared" si="13"/>
        <v>11</v>
      </c>
      <c r="G50" s="697">
        <f t="shared" si="14"/>
        <v>9</v>
      </c>
      <c r="H50" s="698">
        <f t="shared" si="15"/>
        <v>11</v>
      </c>
      <c r="I50" s="671"/>
      <c r="J50" s="699">
        <f t="shared" si="16"/>
        <v>10</v>
      </c>
      <c r="K50" s="697">
        <f t="shared" si="17"/>
        <v>11</v>
      </c>
      <c r="L50" s="698">
        <f t="shared" si="18"/>
        <v>10</v>
      </c>
      <c r="M50" s="671"/>
      <c r="N50" s="699">
        <f t="shared" si="19"/>
        <v>10</v>
      </c>
      <c r="P50" s="665"/>
      <c r="Q50" s="472"/>
      <c r="R50" s="666"/>
    </row>
    <row r="51" spans="2:18" ht="15" customHeight="1" x14ac:dyDescent="0.2">
      <c r="B51" s="668" t="s">
        <v>305</v>
      </c>
      <c r="C51" s="697">
        <f t="shared" si="11"/>
        <v>13</v>
      </c>
      <c r="D51" s="698">
        <f t="shared" si="12"/>
        <v>14</v>
      </c>
      <c r="E51" s="671"/>
      <c r="F51" s="699">
        <f t="shared" si="13"/>
        <v>14</v>
      </c>
      <c r="G51" s="697">
        <f t="shared" si="14"/>
        <v>13</v>
      </c>
      <c r="H51" s="698">
        <f t="shared" si="15"/>
        <v>14</v>
      </c>
      <c r="I51" s="671"/>
      <c r="J51" s="699">
        <f t="shared" si="16"/>
        <v>14</v>
      </c>
      <c r="K51" s="697">
        <f t="shared" si="17"/>
        <v>13</v>
      </c>
      <c r="L51" s="698">
        <f t="shared" si="18"/>
        <v>14</v>
      </c>
      <c r="M51" s="671"/>
      <c r="N51" s="699">
        <f t="shared" si="19"/>
        <v>14</v>
      </c>
      <c r="P51" s="665"/>
      <c r="Q51" s="472"/>
      <c r="R51" s="666"/>
    </row>
    <row r="52" spans="2:18" ht="15" customHeight="1" x14ac:dyDescent="0.2">
      <c r="B52" s="668" t="s">
        <v>289</v>
      </c>
      <c r="C52" s="697">
        <f t="shared" si="11"/>
        <v>14</v>
      </c>
      <c r="D52" s="698">
        <f t="shared" si="12"/>
        <v>13</v>
      </c>
      <c r="E52" s="671"/>
      <c r="F52" s="699">
        <f t="shared" si="13"/>
        <v>13</v>
      </c>
      <c r="G52" s="697">
        <f t="shared" si="14"/>
        <v>14</v>
      </c>
      <c r="H52" s="698">
        <f t="shared" si="15"/>
        <v>13</v>
      </c>
      <c r="I52" s="671"/>
      <c r="J52" s="699">
        <f t="shared" si="16"/>
        <v>13</v>
      </c>
      <c r="K52" s="697">
        <f t="shared" si="17"/>
        <v>14</v>
      </c>
      <c r="L52" s="698">
        <f t="shared" si="18"/>
        <v>13</v>
      </c>
      <c r="M52" s="671"/>
      <c r="N52" s="699">
        <f t="shared" si="19"/>
        <v>13</v>
      </c>
      <c r="P52" s="665"/>
      <c r="Q52" s="472"/>
      <c r="R52" s="666"/>
    </row>
    <row r="53" spans="2:18" ht="15" customHeight="1" x14ac:dyDescent="0.2">
      <c r="B53" s="668" t="s">
        <v>306</v>
      </c>
      <c r="C53" s="697">
        <f t="shared" si="11"/>
        <v>11</v>
      </c>
      <c r="D53" s="698">
        <f t="shared" si="12"/>
        <v>5</v>
      </c>
      <c r="E53" s="671"/>
      <c r="F53" s="699">
        <f t="shared" si="13"/>
        <v>8</v>
      </c>
      <c r="G53" s="697">
        <f t="shared" si="14"/>
        <v>11</v>
      </c>
      <c r="H53" s="698">
        <f t="shared" si="15"/>
        <v>10</v>
      </c>
      <c r="I53" s="671"/>
      <c r="J53" s="699">
        <f t="shared" si="16"/>
        <v>11</v>
      </c>
      <c r="K53" s="697">
        <f t="shared" si="17"/>
        <v>7</v>
      </c>
      <c r="L53" s="698">
        <f t="shared" si="18"/>
        <v>3</v>
      </c>
      <c r="M53" s="671"/>
      <c r="N53" s="699">
        <f t="shared" si="19"/>
        <v>4</v>
      </c>
      <c r="P53" s="665"/>
      <c r="Q53" s="472"/>
      <c r="R53" s="666"/>
    </row>
    <row r="54" spans="2:18" ht="15" customHeight="1" x14ac:dyDescent="0.2">
      <c r="B54" s="668" t="s">
        <v>290</v>
      </c>
      <c r="C54" s="697">
        <f t="shared" si="11"/>
        <v>9</v>
      </c>
      <c r="D54" s="698">
        <f t="shared" si="12"/>
        <v>12</v>
      </c>
      <c r="E54" s="671"/>
      <c r="F54" s="699">
        <f t="shared" si="13"/>
        <v>12</v>
      </c>
      <c r="G54" s="697">
        <f t="shared" si="14"/>
        <v>10</v>
      </c>
      <c r="H54" s="698">
        <f t="shared" si="15"/>
        <v>12</v>
      </c>
      <c r="I54" s="671"/>
      <c r="J54" s="699">
        <f t="shared" si="16"/>
        <v>12</v>
      </c>
      <c r="K54" s="697">
        <f t="shared" si="17"/>
        <v>3</v>
      </c>
      <c r="L54" s="698">
        <f t="shared" si="18"/>
        <v>12</v>
      </c>
      <c r="M54" s="671"/>
      <c r="N54" s="699">
        <f t="shared" si="19"/>
        <v>12</v>
      </c>
      <c r="P54" s="665"/>
      <c r="Q54" s="472"/>
      <c r="R54" s="666"/>
    </row>
    <row r="55" spans="2:18" ht="15" customHeight="1" x14ac:dyDescent="0.2">
      <c r="B55" s="668" t="s">
        <v>291</v>
      </c>
      <c r="C55" s="697">
        <f t="shared" si="11"/>
        <v>1</v>
      </c>
      <c r="D55" s="698">
        <f t="shared" si="12"/>
        <v>9</v>
      </c>
      <c r="E55" s="671"/>
      <c r="F55" s="699">
        <f t="shared" si="13"/>
        <v>7</v>
      </c>
      <c r="G55" s="697">
        <f t="shared" si="14"/>
        <v>1</v>
      </c>
      <c r="H55" s="698">
        <f t="shared" si="15"/>
        <v>1</v>
      </c>
      <c r="I55" s="671"/>
      <c r="J55" s="699">
        <f t="shared" si="16"/>
        <v>1</v>
      </c>
      <c r="K55" s="697">
        <f t="shared" si="17"/>
        <v>9</v>
      </c>
      <c r="L55" s="698">
        <f t="shared" si="18"/>
        <v>11</v>
      </c>
      <c r="M55" s="671"/>
      <c r="N55" s="699">
        <f t="shared" si="19"/>
        <v>11</v>
      </c>
      <c r="P55" s="665"/>
      <c r="Q55" s="472"/>
      <c r="R55" s="666"/>
    </row>
    <row r="56" spans="2:18" ht="15" customHeight="1" x14ac:dyDescent="0.2">
      <c r="B56" s="668" t="s">
        <v>292</v>
      </c>
      <c r="C56" s="697">
        <f t="shared" si="11"/>
        <v>3</v>
      </c>
      <c r="D56" s="698">
        <f t="shared" si="12"/>
        <v>4</v>
      </c>
      <c r="E56" s="671"/>
      <c r="F56" s="699">
        <f t="shared" si="13"/>
        <v>3</v>
      </c>
      <c r="G56" s="697">
        <f t="shared" si="14"/>
        <v>7</v>
      </c>
      <c r="H56" s="698">
        <f t="shared" si="15"/>
        <v>9</v>
      </c>
      <c r="I56" s="671"/>
      <c r="J56" s="699">
        <f t="shared" si="16"/>
        <v>7</v>
      </c>
      <c r="K56" s="697">
        <f t="shared" si="17"/>
        <v>1</v>
      </c>
      <c r="L56" s="698">
        <f t="shared" si="18"/>
        <v>4</v>
      </c>
      <c r="M56" s="671"/>
      <c r="N56" s="699">
        <f t="shared" si="19"/>
        <v>2</v>
      </c>
      <c r="P56" s="665"/>
      <c r="Q56" s="472"/>
      <c r="R56" s="666"/>
    </row>
    <row r="57" spans="2:18" ht="15" customHeight="1" x14ac:dyDescent="0.2">
      <c r="B57" s="668" t="s">
        <v>293</v>
      </c>
      <c r="C57" s="697">
        <f t="shared" si="11"/>
        <v>12</v>
      </c>
      <c r="D57" s="698">
        <f t="shared" si="12"/>
        <v>7</v>
      </c>
      <c r="E57" s="671"/>
      <c r="F57" s="699">
        <f t="shared" si="13"/>
        <v>9</v>
      </c>
      <c r="G57" s="697">
        <f t="shared" si="14"/>
        <v>12</v>
      </c>
      <c r="H57" s="698">
        <f t="shared" si="15"/>
        <v>8</v>
      </c>
      <c r="I57" s="671"/>
      <c r="J57" s="699">
        <f t="shared" si="16"/>
        <v>9</v>
      </c>
      <c r="K57" s="697">
        <f t="shared" si="17"/>
        <v>12</v>
      </c>
      <c r="L57" s="698">
        <f t="shared" si="18"/>
        <v>7</v>
      </c>
      <c r="M57" s="671"/>
      <c r="N57" s="699">
        <f t="shared" si="19"/>
        <v>7</v>
      </c>
      <c r="P57" s="665"/>
      <c r="Q57" s="472"/>
      <c r="R57" s="666"/>
    </row>
    <row r="58" spans="2:18" ht="15" customHeight="1" x14ac:dyDescent="0.2">
      <c r="B58" s="668" t="s">
        <v>294</v>
      </c>
      <c r="C58" s="697">
        <f t="shared" si="11"/>
        <v>7</v>
      </c>
      <c r="D58" s="698">
        <f t="shared" si="12"/>
        <v>6</v>
      </c>
      <c r="E58" s="671"/>
      <c r="F58" s="699">
        <f t="shared" si="13"/>
        <v>6</v>
      </c>
      <c r="G58" s="697">
        <f t="shared" si="14"/>
        <v>8</v>
      </c>
      <c r="H58" s="698">
        <f t="shared" si="15"/>
        <v>7</v>
      </c>
      <c r="I58" s="671"/>
      <c r="J58" s="699">
        <f t="shared" si="16"/>
        <v>8</v>
      </c>
      <c r="K58" s="697">
        <f t="shared" si="17"/>
        <v>4</v>
      </c>
      <c r="L58" s="698">
        <f t="shared" si="18"/>
        <v>6</v>
      </c>
      <c r="M58" s="671"/>
      <c r="N58" s="699">
        <f t="shared" si="19"/>
        <v>6</v>
      </c>
      <c r="P58" s="665"/>
      <c r="Q58" s="472"/>
      <c r="R58" s="666"/>
    </row>
    <row r="59" spans="2:18" ht="15" customHeight="1" x14ac:dyDescent="0.2">
      <c r="B59" s="668" t="s">
        <v>295</v>
      </c>
      <c r="C59" s="697">
        <f t="shared" si="11"/>
        <v>4</v>
      </c>
      <c r="D59" s="698">
        <f t="shared" si="12"/>
        <v>1</v>
      </c>
      <c r="E59" s="671"/>
      <c r="F59" s="699">
        <f t="shared" si="13"/>
        <v>1</v>
      </c>
      <c r="G59" s="697">
        <f t="shared" si="14"/>
        <v>5</v>
      </c>
      <c r="H59" s="698">
        <f t="shared" si="15"/>
        <v>2</v>
      </c>
      <c r="I59" s="671"/>
      <c r="J59" s="699">
        <f t="shared" si="16"/>
        <v>5</v>
      </c>
      <c r="K59" s="697">
        <f t="shared" si="17"/>
        <v>2</v>
      </c>
      <c r="L59" s="698">
        <f t="shared" si="18"/>
        <v>1</v>
      </c>
      <c r="M59" s="671"/>
      <c r="N59" s="699">
        <f t="shared" si="19"/>
        <v>1</v>
      </c>
      <c r="P59" s="665"/>
      <c r="Q59" s="472"/>
      <c r="R59" s="666"/>
    </row>
    <row r="60" spans="2:18" ht="15" customHeight="1" thickBot="1" x14ac:dyDescent="0.25">
      <c r="B60" s="677" t="s">
        <v>296</v>
      </c>
      <c r="C60" s="700">
        <f t="shared" si="11"/>
        <v>6</v>
      </c>
      <c r="D60" s="701">
        <f t="shared" si="12"/>
        <v>8</v>
      </c>
      <c r="E60" s="680"/>
      <c r="F60" s="702">
        <f t="shared" si="13"/>
        <v>5</v>
      </c>
      <c r="G60" s="700">
        <f t="shared" si="14"/>
        <v>4</v>
      </c>
      <c r="H60" s="701">
        <f t="shared" si="15"/>
        <v>3</v>
      </c>
      <c r="I60" s="680"/>
      <c r="J60" s="702">
        <f t="shared" si="16"/>
        <v>3</v>
      </c>
      <c r="K60" s="700">
        <f t="shared" si="17"/>
        <v>6</v>
      </c>
      <c r="L60" s="701">
        <f t="shared" si="18"/>
        <v>8</v>
      </c>
      <c r="M60" s="680"/>
      <c r="N60" s="702">
        <f t="shared" si="19"/>
        <v>8</v>
      </c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 t="s">
        <v>753</v>
      </c>
      <c r="C63" s="1002" t="s">
        <v>76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520</v>
      </c>
      <c r="Q63" s="996"/>
      <c r="R63" s="998"/>
    </row>
    <row r="64" spans="2:18" ht="15" customHeight="1" x14ac:dyDescent="0.2">
      <c r="B64" s="1000"/>
      <c r="C64" s="653" t="s">
        <v>78</v>
      </c>
      <c r="D64" s="653" t="s">
        <v>309</v>
      </c>
      <c r="E64" s="653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 t="s">
        <v>757</v>
      </c>
      <c r="D65" s="654" t="s">
        <v>757</v>
      </c>
      <c r="E65" s="655" t="s">
        <v>82</v>
      </c>
      <c r="F65" s="694" t="s">
        <v>757</v>
      </c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 t="str">
        <f>Index!$B$4</f>
        <v>England</v>
      </c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 t="s">
        <v>286</v>
      </c>
      <c r="C67" s="697">
        <f>_xlfn.RANK.EQ(C27,$C$27:$C$40,0)</f>
        <v>3</v>
      </c>
      <c r="D67" s="698">
        <f>_xlfn.RANK.EQ(D27,$D$27:$D$40,0)</f>
        <v>3</v>
      </c>
      <c r="E67" s="671"/>
      <c r="F67" s="699">
        <f>_xlfn.RANK.EQ(F27,$F$27:$F$40,0)</f>
        <v>3</v>
      </c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 t="s">
        <v>307</v>
      </c>
      <c r="C68" s="697">
        <f t="shared" ref="C68:C80" si="20">_xlfn.RANK.EQ(C28,$C$27:$C$40,0)</f>
        <v>6</v>
      </c>
      <c r="D68" s="698">
        <f t="shared" ref="D68:D80" si="21">_xlfn.RANK.EQ(D28,$D$27:$D$40,0)</f>
        <v>5</v>
      </c>
      <c r="E68" s="671"/>
      <c r="F68" s="699">
        <f t="shared" ref="F68:F80" si="22">_xlfn.RANK.EQ(F28,$F$27:$F$40,0)</f>
        <v>5</v>
      </c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 t="s">
        <v>287</v>
      </c>
      <c r="C69" s="697">
        <f t="shared" si="20"/>
        <v>5</v>
      </c>
      <c r="D69" s="698">
        <f t="shared" si="21"/>
        <v>4</v>
      </c>
      <c r="E69" s="671"/>
      <c r="F69" s="699">
        <f t="shared" si="22"/>
        <v>4</v>
      </c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 t="s">
        <v>288</v>
      </c>
      <c r="C70" s="697">
        <f t="shared" si="20"/>
        <v>8</v>
      </c>
      <c r="D70" s="698">
        <f t="shared" si="21"/>
        <v>11</v>
      </c>
      <c r="E70" s="671"/>
      <c r="F70" s="699">
        <f t="shared" si="22"/>
        <v>10</v>
      </c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 t="s">
        <v>305</v>
      </c>
      <c r="C71" s="697">
        <f t="shared" si="20"/>
        <v>13</v>
      </c>
      <c r="D71" s="698">
        <f t="shared" si="21"/>
        <v>14</v>
      </c>
      <c r="E71" s="671"/>
      <c r="F71" s="699">
        <f t="shared" si="22"/>
        <v>14</v>
      </c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 t="s">
        <v>289</v>
      </c>
      <c r="C72" s="697">
        <f t="shared" si="20"/>
        <v>14</v>
      </c>
      <c r="D72" s="698">
        <f t="shared" si="21"/>
        <v>13</v>
      </c>
      <c r="E72" s="671"/>
      <c r="F72" s="699">
        <f t="shared" si="22"/>
        <v>13</v>
      </c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 t="s">
        <v>306</v>
      </c>
      <c r="C73" s="697">
        <f t="shared" si="20"/>
        <v>12</v>
      </c>
      <c r="D73" s="698">
        <f t="shared" si="21"/>
        <v>6</v>
      </c>
      <c r="E73" s="671"/>
      <c r="F73" s="699">
        <f t="shared" si="22"/>
        <v>9</v>
      </c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 t="s">
        <v>290</v>
      </c>
      <c r="C74" s="697">
        <f t="shared" si="20"/>
        <v>11</v>
      </c>
      <c r="D74" s="698">
        <f t="shared" si="21"/>
        <v>12</v>
      </c>
      <c r="E74" s="671"/>
      <c r="F74" s="699">
        <f t="shared" si="22"/>
        <v>12</v>
      </c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 t="s">
        <v>291</v>
      </c>
      <c r="C75" s="697">
        <f t="shared" si="20"/>
        <v>1</v>
      </c>
      <c r="D75" s="698">
        <f t="shared" si="21"/>
        <v>2</v>
      </c>
      <c r="E75" s="671"/>
      <c r="F75" s="699">
        <f t="shared" si="22"/>
        <v>1</v>
      </c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 t="s">
        <v>292</v>
      </c>
      <c r="C76" s="697">
        <f t="shared" si="20"/>
        <v>7</v>
      </c>
      <c r="D76" s="698">
        <f t="shared" si="21"/>
        <v>8</v>
      </c>
      <c r="E76" s="671"/>
      <c r="F76" s="699">
        <f t="shared" si="22"/>
        <v>7</v>
      </c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 t="s">
        <v>293</v>
      </c>
      <c r="C77" s="697">
        <f t="shared" si="20"/>
        <v>10</v>
      </c>
      <c r="D77" s="698">
        <f t="shared" si="21"/>
        <v>7</v>
      </c>
      <c r="E77" s="671"/>
      <c r="F77" s="699">
        <f t="shared" si="22"/>
        <v>8</v>
      </c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 t="s">
        <v>294</v>
      </c>
      <c r="C78" s="697">
        <f t="shared" si="20"/>
        <v>9</v>
      </c>
      <c r="D78" s="698">
        <f t="shared" si="21"/>
        <v>9</v>
      </c>
      <c r="E78" s="671"/>
      <c r="F78" s="699">
        <f t="shared" si="22"/>
        <v>11</v>
      </c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 t="s">
        <v>295</v>
      </c>
      <c r="C79" s="697">
        <f t="shared" si="20"/>
        <v>4</v>
      </c>
      <c r="D79" s="698">
        <f t="shared" si="21"/>
        <v>10</v>
      </c>
      <c r="E79" s="671"/>
      <c r="F79" s="699">
        <f t="shared" si="22"/>
        <v>6</v>
      </c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 t="s">
        <v>296</v>
      </c>
      <c r="C80" s="700">
        <f t="shared" si="20"/>
        <v>2</v>
      </c>
      <c r="D80" s="701">
        <f t="shared" si="21"/>
        <v>1</v>
      </c>
      <c r="E80" s="680"/>
      <c r="F80" s="702">
        <f t="shared" si="22"/>
        <v>2</v>
      </c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U95"/>
  <sheetViews>
    <sheetView zoomScale="80" zoomScaleNormal="80"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4" t="s">
        <v>737</v>
      </c>
      <c r="C3" s="1025"/>
      <c r="D3" s="1025"/>
      <c r="E3" s="1025"/>
      <c r="F3" s="1025"/>
      <c r="G3" s="1025"/>
      <c r="I3" s="1024" t="s">
        <v>736</v>
      </c>
      <c r="J3" s="1025"/>
      <c r="K3" s="1025"/>
      <c r="L3" s="1025"/>
      <c r="M3" s="1025"/>
      <c r="N3" s="1025"/>
      <c r="P3" s="1024" t="s">
        <v>735</v>
      </c>
      <c r="Q3" s="1025"/>
      <c r="R3" s="1025"/>
      <c r="S3" s="1025"/>
      <c r="T3" s="1025"/>
      <c r="U3" s="1025"/>
    </row>
    <row r="4" spans="2:21" ht="13.5" thickBot="1" x14ac:dyDescent="0.25">
      <c r="B4" s="614"/>
      <c r="C4" s="614" t="s">
        <v>78</v>
      </c>
      <c r="D4" s="614" t="s">
        <v>309</v>
      </c>
      <c r="E4" s="619" t="s">
        <v>82</v>
      </c>
      <c r="F4" s="614" t="s">
        <v>310</v>
      </c>
      <c r="G4" s="614" t="s">
        <v>486</v>
      </c>
      <c r="I4" s="614"/>
      <c r="J4" s="614" t="s">
        <v>78</v>
      </c>
      <c r="K4" s="614" t="s">
        <v>309</v>
      </c>
      <c r="L4" s="619" t="s">
        <v>82</v>
      </c>
      <c r="M4" s="614" t="s">
        <v>310</v>
      </c>
      <c r="N4" s="614" t="s">
        <v>486</v>
      </c>
      <c r="P4" s="614"/>
      <c r="Q4" s="614" t="s">
        <v>78</v>
      </c>
      <c r="R4" s="614" t="s">
        <v>309</v>
      </c>
      <c r="S4" s="619" t="s">
        <v>82</v>
      </c>
      <c r="T4" s="614" t="s">
        <v>310</v>
      </c>
      <c r="U4" s="614" t="s">
        <v>486</v>
      </c>
    </row>
    <row r="5" spans="2:21" x14ac:dyDescent="0.2">
      <c r="B5" s="612" t="s">
        <v>721</v>
      </c>
      <c r="C5" s="618">
        <v>181.17345999999995</v>
      </c>
      <c r="D5" s="618">
        <v>1016.37209</v>
      </c>
      <c r="E5" s="617">
        <v>0.64792943065038755</v>
      </c>
      <c r="F5" s="616">
        <f t="shared" ref="F5:F19" si="0">D5*E5/100</f>
        <v>6.5853738960264447</v>
      </c>
      <c r="G5" s="615">
        <f t="shared" ref="G5:G19" si="1">C5+D5</f>
        <v>1197.5455499999998</v>
      </c>
      <c r="I5" s="612" t="s">
        <v>721</v>
      </c>
      <c r="J5" s="618">
        <v>35136.934000000001</v>
      </c>
      <c r="K5" s="618">
        <v>232722.22099999999</v>
      </c>
      <c r="L5" s="617">
        <v>1.3249205983688215</v>
      </c>
      <c r="M5" s="616">
        <f t="shared" ref="M5:M19" si="2">K5*L5/100</f>
        <v>3083.3846430104109</v>
      </c>
      <c r="N5" s="615">
        <f t="shared" ref="N5:N19" si="3">J5+K5</f>
        <v>267859.15499999997</v>
      </c>
      <c r="P5" s="612" t="s">
        <v>721</v>
      </c>
      <c r="Q5" s="618">
        <v>207905.27900000001</v>
      </c>
      <c r="R5" s="618">
        <v>1139545.4410000001</v>
      </c>
      <c r="S5" s="617">
        <v>1.2114807274468335</v>
      </c>
      <c r="T5" s="616">
        <f t="shared" ref="T5:T19" si="4">R5*S5/100</f>
        <v>13805.373398214029</v>
      </c>
      <c r="U5" s="615">
        <f t="shared" ref="U5:U19" si="5">Q5+R5</f>
        <v>1347450.7200000002</v>
      </c>
    </row>
    <row r="6" spans="2:21" x14ac:dyDescent="0.2">
      <c r="B6" s="608" t="s">
        <v>286</v>
      </c>
      <c r="C6" s="346">
        <v>16.338729999999998</v>
      </c>
      <c r="D6" s="346">
        <v>59.816089999999996</v>
      </c>
      <c r="E6" s="468">
        <v>1.7</v>
      </c>
      <c r="F6" s="472">
        <f t="shared" si="0"/>
        <v>1.0168735299999998</v>
      </c>
      <c r="G6" s="473">
        <f t="shared" si="1"/>
        <v>76.154820000000001</v>
      </c>
      <c r="I6" s="608" t="s">
        <v>286</v>
      </c>
      <c r="J6" s="346">
        <v>3059.9879999999998</v>
      </c>
      <c r="K6" s="346">
        <v>13512.279</v>
      </c>
      <c r="L6" s="468">
        <v>4.5599999999999996</v>
      </c>
      <c r="M6" s="472">
        <f t="shared" si="2"/>
        <v>616.15992240000003</v>
      </c>
      <c r="N6" s="473">
        <f t="shared" si="3"/>
        <v>16572.267</v>
      </c>
      <c r="P6" s="608" t="s">
        <v>286</v>
      </c>
      <c r="Q6" s="346">
        <v>26134.491999999998</v>
      </c>
      <c r="R6" s="346">
        <v>62577.341999999997</v>
      </c>
      <c r="S6" s="468">
        <v>4.51</v>
      </c>
      <c r="T6" s="472">
        <f t="shared" si="4"/>
        <v>2822.2381241999997</v>
      </c>
      <c r="U6" s="473">
        <f t="shared" si="5"/>
        <v>88711.834000000003</v>
      </c>
    </row>
    <row r="7" spans="2:21" x14ac:dyDescent="0.2">
      <c r="B7" s="609" t="s">
        <v>307</v>
      </c>
      <c r="C7" s="346">
        <v>10.266860000000001</v>
      </c>
      <c r="D7" s="346">
        <v>96.409600000000012</v>
      </c>
      <c r="E7" s="468">
        <v>2</v>
      </c>
      <c r="F7" s="472">
        <f t="shared" si="0"/>
        <v>1.9281920000000001</v>
      </c>
      <c r="G7" s="473">
        <f t="shared" si="1"/>
        <v>106.67646000000002</v>
      </c>
      <c r="I7" s="609" t="s">
        <v>307</v>
      </c>
      <c r="J7" s="346">
        <v>2115.39</v>
      </c>
      <c r="K7" s="346">
        <v>23618.437999999998</v>
      </c>
      <c r="L7" s="468">
        <v>4.5599999999999996</v>
      </c>
      <c r="M7" s="472">
        <f t="shared" si="2"/>
        <v>1077.0007727999998</v>
      </c>
      <c r="N7" s="473">
        <f t="shared" si="3"/>
        <v>25733.827999999998</v>
      </c>
      <c r="P7" s="609" t="s">
        <v>307</v>
      </c>
      <c r="Q7" s="346">
        <v>10544.929</v>
      </c>
      <c r="R7" s="346">
        <v>113611.928</v>
      </c>
      <c r="S7" s="468">
        <v>3.79</v>
      </c>
      <c r="T7" s="472">
        <f t="shared" si="4"/>
        <v>4305.8920711999999</v>
      </c>
      <c r="U7" s="473">
        <f t="shared" si="5"/>
        <v>124156.857</v>
      </c>
    </row>
    <row r="8" spans="2:21" x14ac:dyDescent="0.2">
      <c r="B8" s="608" t="s">
        <v>287</v>
      </c>
      <c r="C8" s="346">
        <v>21.707750000000001</v>
      </c>
      <c r="D8" s="346">
        <v>102.52519000000001</v>
      </c>
      <c r="E8" s="468">
        <v>1.44</v>
      </c>
      <c r="F8" s="472">
        <f t="shared" si="0"/>
        <v>1.476362736</v>
      </c>
      <c r="G8" s="473">
        <f t="shared" si="1"/>
        <v>124.23294000000001</v>
      </c>
      <c r="I8" s="608" t="s">
        <v>287</v>
      </c>
      <c r="J8" s="346">
        <v>3921.0219999999999</v>
      </c>
      <c r="K8" s="346">
        <v>19729.57</v>
      </c>
      <c r="L8" s="468">
        <v>4.33</v>
      </c>
      <c r="M8" s="472">
        <f t="shared" si="2"/>
        <v>854.29038100000002</v>
      </c>
      <c r="N8" s="473">
        <f t="shared" si="3"/>
        <v>23650.592000000001</v>
      </c>
      <c r="P8" s="608" t="s">
        <v>287</v>
      </c>
      <c r="Q8" s="346">
        <v>23072.591</v>
      </c>
      <c r="R8" s="346">
        <v>105963.91800000001</v>
      </c>
      <c r="S8" s="468">
        <v>4.3099999999999996</v>
      </c>
      <c r="T8" s="472">
        <f t="shared" si="4"/>
        <v>4567.0448657999996</v>
      </c>
      <c r="U8" s="473">
        <f t="shared" si="5"/>
        <v>129036.50900000001</v>
      </c>
    </row>
    <row r="9" spans="2:21" x14ac:dyDescent="0.2">
      <c r="B9" s="609" t="s">
        <v>288</v>
      </c>
      <c r="C9" s="346">
        <v>6.7304899999999996</v>
      </c>
      <c r="D9" s="346">
        <v>44.435970000000005</v>
      </c>
      <c r="E9" s="468">
        <v>1.81</v>
      </c>
      <c r="F9" s="472">
        <f t="shared" si="0"/>
        <v>0.80429105700000003</v>
      </c>
      <c r="G9" s="473">
        <f t="shared" si="1"/>
        <v>51.166460000000001</v>
      </c>
      <c r="I9" s="609" t="s">
        <v>288</v>
      </c>
      <c r="J9" s="346">
        <v>1308.79</v>
      </c>
      <c r="K9" s="346">
        <v>8339.4599999999991</v>
      </c>
      <c r="L9" s="468">
        <v>7.13</v>
      </c>
      <c r="M9" s="472">
        <f t="shared" si="2"/>
        <v>594.60349799999995</v>
      </c>
      <c r="N9" s="473">
        <f t="shared" si="3"/>
        <v>9648.25</v>
      </c>
      <c r="P9" s="609" t="s">
        <v>288</v>
      </c>
      <c r="Q9" s="346">
        <v>5171.6210000000001</v>
      </c>
      <c r="R9" s="346">
        <v>45528.826000000001</v>
      </c>
      <c r="S9" s="468">
        <v>6.43</v>
      </c>
      <c r="T9" s="472">
        <f t="shared" si="4"/>
        <v>2927.5035118000001</v>
      </c>
      <c r="U9" s="473">
        <f t="shared" si="5"/>
        <v>50700.447</v>
      </c>
    </row>
    <row r="10" spans="2:21" x14ac:dyDescent="0.2">
      <c r="B10" s="608" t="s">
        <v>305</v>
      </c>
      <c r="C10" s="346">
        <v>1.2154100000000001</v>
      </c>
      <c r="D10" s="346">
        <v>25.682310000000001</v>
      </c>
      <c r="E10" s="468">
        <v>15.99</v>
      </c>
      <c r="F10" s="472">
        <f t="shared" si="0"/>
        <v>4.1066013689999998</v>
      </c>
      <c r="G10" s="473">
        <f t="shared" si="1"/>
        <v>26.89772</v>
      </c>
      <c r="I10" s="608" t="s">
        <v>305</v>
      </c>
      <c r="J10" s="346">
        <v>179.892</v>
      </c>
      <c r="K10" s="346">
        <v>4595.5990000000002</v>
      </c>
      <c r="L10" s="468">
        <v>12.35</v>
      </c>
      <c r="M10" s="472">
        <f t="shared" si="2"/>
        <v>567.55647650000003</v>
      </c>
      <c r="N10" s="473">
        <f t="shared" si="3"/>
        <v>4775.491</v>
      </c>
      <c r="P10" s="608" t="s">
        <v>305</v>
      </c>
      <c r="Q10" s="346">
        <v>1222.0129999999999</v>
      </c>
      <c r="R10" s="346">
        <v>22610.062999999998</v>
      </c>
      <c r="S10" s="468">
        <v>10.77</v>
      </c>
      <c r="T10" s="472">
        <f t="shared" si="4"/>
        <v>2435.1037850999996</v>
      </c>
      <c r="U10" s="473">
        <f t="shared" si="5"/>
        <v>23832.075999999997</v>
      </c>
    </row>
    <row r="11" spans="2:21" x14ac:dyDescent="0.2">
      <c r="B11" s="609" t="s">
        <v>289</v>
      </c>
      <c r="C11" s="346">
        <v>0.72744000000000009</v>
      </c>
      <c r="D11" s="346">
        <v>32.458410000000001</v>
      </c>
      <c r="E11" s="468">
        <v>1.9</v>
      </c>
      <c r="F11" s="472">
        <f t="shared" si="0"/>
        <v>0.61670978999999992</v>
      </c>
      <c r="G11" s="473">
        <f t="shared" si="1"/>
        <v>33.185850000000002</v>
      </c>
      <c r="I11" s="609" t="s">
        <v>289</v>
      </c>
      <c r="J11" s="346">
        <v>107.497</v>
      </c>
      <c r="K11" s="346">
        <v>6357.6980000000003</v>
      </c>
      <c r="L11" s="468">
        <v>12.52</v>
      </c>
      <c r="M11" s="472">
        <f t="shared" si="2"/>
        <v>795.98378960000002</v>
      </c>
      <c r="N11" s="473">
        <f t="shared" si="3"/>
        <v>6465.1950000000006</v>
      </c>
      <c r="P11" s="609" t="s">
        <v>289</v>
      </c>
      <c r="Q11" s="346">
        <v>615.24</v>
      </c>
      <c r="R11" s="346">
        <v>29559.473000000002</v>
      </c>
      <c r="S11" s="468">
        <v>6.72</v>
      </c>
      <c r="T11" s="472">
        <f t="shared" si="4"/>
        <v>1986.3965856000002</v>
      </c>
      <c r="U11" s="473">
        <f t="shared" si="5"/>
        <v>30174.713000000003</v>
      </c>
    </row>
    <row r="12" spans="2:21" x14ac:dyDescent="0.2">
      <c r="B12" s="608" t="s">
        <v>306</v>
      </c>
      <c r="C12" s="346">
        <v>5.3738100000000006</v>
      </c>
      <c r="D12" s="346">
        <v>91.230199999999996</v>
      </c>
      <c r="E12" s="468">
        <v>2.84</v>
      </c>
      <c r="F12" s="472">
        <f t="shared" si="0"/>
        <v>2.5909376799999997</v>
      </c>
      <c r="G12" s="473">
        <f t="shared" si="1"/>
        <v>96.604010000000002</v>
      </c>
      <c r="I12" s="608" t="s">
        <v>306</v>
      </c>
      <c r="J12" s="346">
        <v>894.36300000000006</v>
      </c>
      <c r="K12" s="346">
        <v>19693.312000000002</v>
      </c>
      <c r="L12" s="468">
        <v>4.33</v>
      </c>
      <c r="M12" s="472">
        <f t="shared" si="2"/>
        <v>852.72040960000015</v>
      </c>
      <c r="N12" s="473">
        <f t="shared" si="3"/>
        <v>20587.675000000003</v>
      </c>
      <c r="P12" s="608" t="s">
        <v>306</v>
      </c>
      <c r="Q12" s="346">
        <v>6501.2479999999996</v>
      </c>
      <c r="R12" s="346">
        <v>128190.28200000001</v>
      </c>
      <c r="S12" s="468">
        <v>4.63</v>
      </c>
      <c r="T12" s="472">
        <f t="shared" si="4"/>
        <v>5935.2100565999999</v>
      </c>
      <c r="U12" s="473">
        <f t="shared" si="5"/>
        <v>134691.53</v>
      </c>
    </row>
    <row r="13" spans="2:21" x14ac:dyDescent="0.2">
      <c r="B13" s="609" t="s">
        <v>290</v>
      </c>
      <c r="C13" s="346">
        <v>8.6968199999999989</v>
      </c>
      <c r="D13" s="346">
        <v>38.227789999999999</v>
      </c>
      <c r="E13" s="468">
        <v>1.84</v>
      </c>
      <c r="F13" s="472">
        <f t="shared" si="0"/>
        <v>0.70339133599999992</v>
      </c>
      <c r="G13" s="473">
        <f t="shared" si="1"/>
        <v>46.924610000000001</v>
      </c>
      <c r="I13" s="609" t="s">
        <v>290</v>
      </c>
      <c r="J13" s="346">
        <v>1485.0840000000001</v>
      </c>
      <c r="K13" s="346">
        <v>7796.9870000000001</v>
      </c>
      <c r="L13" s="468">
        <v>6.37</v>
      </c>
      <c r="M13" s="472">
        <f t="shared" si="2"/>
        <v>496.66807189999997</v>
      </c>
      <c r="N13" s="473">
        <f t="shared" si="3"/>
        <v>9282.0709999999999</v>
      </c>
      <c r="P13" s="609" t="s">
        <v>290</v>
      </c>
      <c r="Q13" s="346">
        <v>10051.968999999999</v>
      </c>
      <c r="R13" s="346">
        <v>42679.970999999998</v>
      </c>
      <c r="S13" s="468">
        <v>5.85</v>
      </c>
      <c r="T13" s="472">
        <f t="shared" si="4"/>
        <v>2496.7783034999998</v>
      </c>
      <c r="U13" s="473">
        <f t="shared" si="5"/>
        <v>52731.939999999995</v>
      </c>
    </row>
    <row r="14" spans="2:21" x14ac:dyDescent="0.2">
      <c r="B14" s="608" t="s">
        <v>291</v>
      </c>
      <c r="C14" s="346">
        <v>40.127139999999997</v>
      </c>
      <c r="D14" s="346">
        <v>60.216670000000001</v>
      </c>
      <c r="E14" s="468">
        <v>2.5299999999999998</v>
      </c>
      <c r="F14" s="472">
        <f t="shared" si="0"/>
        <v>1.5234817509999998</v>
      </c>
      <c r="G14" s="473">
        <f t="shared" si="1"/>
        <v>100.34380999999999</v>
      </c>
      <c r="I14" s="608" t="s">
        <v>291</v>
      </c>
      <c r="J14" s="346">
        <v>6731.116</v>
      </c>
      <c r="K14" s="346">
        <v>13663.496999999999</v>
      </c>
      <c r="L14" s="468">
        <v>5.29</v>
      </c>
      <c r="M14" s="472">
        <f t="shared" si="2"/>
        <v>722.7989912999999</v>
      </c>
      <c r="N14" s="473">
        <f t="shared" si="3"/>
        <v>20394.612999999998</v>
      </c>
      <c r="P14" s="608" t="s">
        <v>291</v>
      </c>
      <c r="Q14" s="346">
        <v>60699.254999999997</v>
      </c>
      <c r="R14" s="346">
        <v>75969.606</v>
      </c>
      <c r="S14" s="468">
        <v>5.68</v>
      </c>
      <c r="T14" s="472">
        <f t="shared" si="4"/>
        <v>4315.0736207999998</v>
      </c>
      <c r="U14" s="473">
        <f t="shared" si="5"/>
        <v>136668.861</v>
      </c>
    </row>
    <row r="15" spans="2:21" x14ac:dyDescent="0.2">
      <c r="B15" s="609" t="s">
        <v>292</v>
      </c>
      <c r="C15" s="346">
        <v>21.131790000000002</v>
      </c>
      <c r="D15" s="346">
        <v>93.152839999999998</v>
      </c>
      <c r="E15" s="468">
        <v>1.5</v>
      </c>
      <c r="F15" s="472">
        <f t="shared" si="0"/>
        <v>1.3972926000000001</v>
      </c>
      <c r="G15" s="473">
        <f t="shared" si="1"/>
        <v>114.28462999999999</v>
      </c>
      <c r="I15" s="609" t="s">
        <v>292</v>
      </c>
      <c r="J15" s="346">
        <v>5741.1769999999997</v>
      </c>
      <c r="K15" s="346">
        <v>23020.916000000001</v>
      </c>
      <c r="L15" s="468">
        <v>3.18</v>
      </c>
      <c r="M15" s="472">
        <f t="shared" si="2"/>
        <v>732.06512880000014</v>
      </c>
      <c r="N15" s="473">
        <f t="shared" si="3"/>
        <v>28762.093000000001</v>
      </c>
      <c r="P15" s="609" t="s">
        <v>292</v>
      </c>
      <c r="Q15" s="346">
        <v>18891.375</v>
      </c>
      <c r="R15" s="346">
        <v>108672.41800000001</v>
      </c>
      <c r="S15" s="468">
        <v>3.26</v>
      </c>
      <c r="T15" s="472">
        <f t="shared" si="4"/>
        <v>3542.7208267999999</v>
      </c>
      <c r="U15" s="473">
        <f t="shared" si="5"/>
        <v>127563.79300000001</v>
      </c>
    </row>
    <row r="16" spans="2:21" x14ac:dyDescent="0.2">
      <c r="B16" s="608" t="s">
        <v>293</v>
      </c>
      <c r="C16" s="346">
        <v>2.5629</v>
      </c>
      <c r="D16" s="346">
        <v>86.046720000000008</v>
      </c>
      <c r="E16" s="468">
        <v>0.94</v>
      </c>
      <c r="F16" s="472">
        <f t="shared" si="0"/>
        <v>0.80883916800000011</v>
      </c>
      <c r="G16" s="473">
        <f t="shared" si="1"/>
        <v>88.609620000000007</v>
      </c>
      <c r="I16" s="608" t="s">
        <v>293</v>
      </c>
      <c r="J16" s="346">
        <v>493.28500000000003</v>
      </c>
      <c r="K16" s="346">
        <v>21561.99</v>
      </c>
      <c r="L16" s="468">
        <v>3.33</v>
      </c>
      <c r="M16" s="472">
        <f t="shared" si="2"/>
        <v>718.01426700000013</v>
      </c>
      <c r="N16" s="473">
        <f t="shared" si="3"/>
        <v>22055.275000000001</v>
      </c>
      <c r="P16" s="608" t="s">
        <v>293</v>
      </c>
      <c r="Q16" s="346">
        <v>2485.41</v>
      </c>
      <c r="R16" s="346">
        <v>91781.61</v>
      </c>
      <c r="S16" s="468">
        <v>3.58</v>
      </c>
      <c r="T16" s="472">
        <f t="shared" si="4"/>
        <v>3285.7816379999999</v>
      </c>
      <c r="U16" s="473">
        <f t="shared" si="5"/>
        <v>94267.02</v>
      </c>
    </row>
    <row r="17" spans="2:21" x14ac:dyDescent="0.2">
      <c r="B17" s="609" t="s">
        <v>294</v>
      </c>
      <c r="C17" s="346">
        <v>10.756680000000001</v>
      </c>
      <c r="D17" s="346">
        <v>90.090509999999995</v>
      </c>
      <c r="E17" s="468">
        <v>1.65</v>
      </c>
      <c r="F17" s="472">
        <f t="shared" si="0"/>
        <v>1.486493415</v>
      </c>
      <c r="G17" s="473">
        <f t="shared" si="1"/>
        <v>100.84719</v>
      </c>
      <c r="I17" s="609" t="s">
        <v>294</v>
      </c>
      <c r="J17" s="346">
        <v>2199.4859999999999</v>
      </c>
      <c r="K17" s="346">
        <v>23342.064999999999</v>
      </c>
      <c r="L17" s="468">
        <v>4.28</v>
      </c>
      <c r="M17" s="472">
        <f t="shared" si="2"/>
        <v>999.04038199999991</v>
      </c>
      <c r="N17" s="473">
        <f t="shared" si="3"/>
        <v>25541.550999999999</v>
      </c>
      <c r="P17" s="609" t="s">
        <v>294</v>
      </c>
      <c r="Q17" s="346">
        <v>8917.5840000000007</v>
      </c>
      <c r="R17" s="346">
        <v>96314.125</v>
      </c>
      <c r="S17" s="468">
        <v>3.66</v>
      </c>
      <c r="T17" s="472">
        <f t="shared" si="4"/>
        <v>3525.0969749999999</v>
      </c>
      <c r="U17" s="473">
        <f t="shared" si="5"/>
        <v>105231.709</v>
      </c>
    </row>
    <row r="18" spans="2:21" x14ac:dyDescent="0.2">
      <c r="B18" s="608" t="s">
        <v>295</v>
      </c>
      <c r="C18" s="346">
        <v>19.459019999999999</v>
      </c>
      <c r="D18" s="346">
        <v>111.30824000000001</v>
      </c>
      <c r="E18" s="468">
        <v>1.38</v>
      </c>
      <c r="F18" s="472">
        <f t="shared" si="0"/>
        <v>1.5360537120000002</v>
      </c>
      <c r="G18" s="473">
        <f t="shared" si="1"/>
        <v>130.76726000000002</v>
      </c>
      <c r="I18" s="608" t="s">
        <v>295</v>
      </c>
      <c r="J18" s="346">
        <v>4162.5219999999999</v>
      </c>
      <c r="K18" s="346">
        <v>30266.026000000002</v>
      </c>
      <c r="L18" s="468">
        <v>4.7</v>
      </c>
      <c r="M18" s="472">
        <f t="shared" si="2"/>
        <v>1422.5032220000003</v>
      </c>
      <c r="N18" s="473">
        <f t="shared" si="3"/>
        <v>34428.548000000003</v>
      </c>
      <c r="P18" s="608" t="s">
        <v>295</v>
      </c>
      <c r="Q18" s="346">
        <v>17600.126</v>
      </c>
      <c r="R18" s="346">
        <v>122038.25900000001</v>
      </c>
      <c r="S18" s="468">
        <v>3.61</v>
      </c>
      <c r="T18" s="472">
        <f t="shared" si="4"/>
        <v>4405.5811499000001</v>
      </c>
      <c r="U18" s="473">
        <f t="shared" si="5"/>
        <v>139638.38500000001</v>
      </c>
    </row>
    <row r="19" spans="2:21" ht="13.5" thickBot="1" x14ac:dyDescent="0.25">
      <c r="B19" s="604" t="s">
        <v>296</v>
      </c>
      <c r="C19" s="352">
        <v>16.078620000000001</v>
      </c>
      <c r="D19" s="352">
        <v>84.771550000000005</v>
      </c>
      <c r="E19" s="469">
        <v>1.6</v>
      </c>
      <c r="F19" s="474">
        <f t="shared" si="0"/>
        <v>1.3563448000000002</v>
      </c>
      <c r="G19" s="475">
        <f t="shared" si="1"/>
        <v>100.85017000000001</v>
      </c>
      <c r="I19" s="604" t="s">
        <v>296</v>
      </c>
      <c r="J19" s="352">
        <v>2737.3220000000001</v>
      </c>
      <c r="K19" s="352">
        <v>17224.383999999998</v>
      </c>
      <c r="L19" s="469">
        <v>3.48</v>
      </c>
      <c r="M19" s="474">
        <f t="shared" si="2"/>
        <v>599.40856319999989</v>
      </c>
      <c r="N19" s="475">
        <f t="shared" si="3"/>
        <v>19961.705999999998</v>
      </c>
      <c r="P19" s="604" t="s">
        <v>296</v>
      </c>
      <c r="Q19" s="352">
        <v>15997.425999999999</v>
      </c>
      <c r="R19" s="352">
        <v>94047.62</v>
      </c>
      <c r="S19" s="469">
        <v>3.28</v>
      </c>
      <c r="T19" s="474">
        <f t="shared" si="4"/>
        <v>3084.7619359999994</v>
      </c>
      <c r="U19" s="475">
        <f t="shared" si="5"/>
        <v>110045.046</v>
      </c>
    </row>
    <row r="22" spans="2:21" ht="38.25" customHeight="1" x14ac:dyDescent="0.2">
      <c r="B22" s="1024" t="s">
        <v>734</v>
      </c>
      <c r="C22" s="1025"/>
      <c r="D22" s="1025"/>
      <c r="E22" s="1025"/>
      <c r="F22" s="1025"/>
      <c r="G22" s="1025"/>
      <c r="I22" s="1024" t="s">
        <v>733</v>
      </c>
      <c r="J22" s="1025"/>
      <c r="K22" s="1025"/>
      <c r="L22" s="1025"/>
      <c r="M22" s="1025"/>
      <c r="N22" s="1025"/>
      <c r="P22" s="1024" t="s">
        <v>732</v>
      </c>
      <c r="Q22" s="1025"/>
      <c r="R22" s="1025"/>
      <c r="S22" s="1025"/>
      <c r="T22" s="1025"/>
      <c r="U22" s="1025"/>
    </row>
    <row r="23" spans="2:21" ht="13.5" thickBot="1" x14ac:dyDescent="0.25">
      <c r="B23" s="614"/>
      <c r="C23" s="614" t="s">
        <v>78</v>
      </c>
      <c r="D23" s="614" t="s">
        <v>309</v>
      </c>
      <c r="E23" s="619" t="s">
        <v>82</v>
      </c>
      <c r="F23" s="614" t="s">
        <v>310</v>
      </c>
      <c r="G23" s="614" t="s">
        <v>486</v>
      </c>
      <c r="I23" s="614"/>
      <c r="J23" s="614" t="s">
        <v>78</v>
      </c>
      <c r="K23" s="614" t="s">
        <v>309</v>
      </c>
      <c r="L23" s="619" t="s">
        <v>82</v>
      </c>
      <c r="M23" s="614" t="s">
        <v>310</v>
      </c>
      <c r="N23" s="614" t="s">
        <v>486</v>
      </c>
      <c r="P23" s="614"/>
      <c r="Q23" s="614" t="s">
        <v>78</v>
      </c>
      <c r="R23" s="614" t="s">
        <v>309</v>
      </c>
      <c r="S23" s="619" t="s">
        <v>82</v>
      </c>
      <c r="T23" s="614" t="s">
        <v>310</v>
      </c>
      <c r="U23" s="614" t="s">
        <v>486</v>
      </c>
    </row>
    <row r="24" spans="2:21" x14ac:dyDescent="0.2">
      <c r="B24" s="612" t="s">
        <v>721</v>
      </c>
      <c r="C24" s="618">
        <v>127.51262</v>
      </c>
      <c r="D24" s="618">
        <v>177.55427</v>
      </c>
      <c r="E24" s="617">
        <v>1.838364322627509</v>
      </c>
      <c r="F24" s="616">
        <f t="shared" ref="F24:F38" si="6">D24*E24/100</f>
        <v>3.2640943529817186</v>
      </c>
      <c r="G24" s="615">
        <f t="shared" ref="G24:G38" si="7">C24+D24</f>
        <v>305.06689</v>
      </c>
      <c r="I24" s="612" t="s">
        <v>721</v>
      </c>
      <c r="J24" s="618">
        <v>26375.967000000001</v>
      </c>
      <c r="K24" s="618">
        <v>63619.548999999999</v>
      </c>
      <c r="L24" s="617">
        <v>2.44942320338764</v>
      </c>
      <c r="M24" s="616">
        <f t="shared" ref="M24:M38" si="8">K24*L24/100</f>
        <v>1558.3119950965693</v>
      </c>
      <c r="N24" s="615">
        <f t="shared" ref="N24:N38" si="9">J24+K24</f>
        <v>89995.516000000003</v>
      </c>
      <c r="P24" s="612" t="s">
        <v>721</v>
      </c>
      <c r="Q24" s="618">
        <v>149700.77499999999</v>
      </c>
      <c r="R24" s="618">
        <v>155504.29199999999</v>
      </c>
      <c r="S24" s="617">
        <v>2.9411401766810834</v>
      </c>
      <c r="T24" s="616">
        <f t="shared" ref="T24:T38" si="10">R24*S24/100</f>
        <v>4573.599208475468</v>
      </c>
      <c r="U24" s="615">
        <f t="shared" ref="U24:U38" si="11">Q24+R24</f>
        <v>305205.06699999998</v>
      </c>
    </row>
    <row r="25" spans="2:21" x14ac:dyDescent="0.2">
      <c r="B25" s="608" t="s">
        <v>286</v>
      </c>
      <c r="C25" s="346">
        <v>13.633100000000001</v>
      </c>
      <c r="D25" s="346">
        <v>17.642330000000001</v>
      </c>
      <c r="E25" s="468">
        <v>5.7</v>
      </c>
      <c r="F25" s="472">
        <f t="shared" si="6"/>
        <v>1.0056128100000001</v>
      </c>
      <c r="G25" s="473">
        <f t="shared" si="7"/>
        <v>31.27543</v>
      </c>
      <c r="I25" s="608" t="s">
        <v>286</v>
      </c>
      <c r="J25" s="346">
        <v>2712.08</v>
      </c>
      <c r="K25" s="346">
        <v>6126.6009999999997</v>
      </c>
      <c r="L25" s="468">
        <v>7.2</v>
      </c>
      <c r="M25" s="472">
        <f t="shared" si="8"/>
        <v>441.11527199999995</v>
      </c>
      <c r="N25" s="473">
        <f t="shared" si="9"/>
        <v>8838.6810000000005</v>
      </c>
      <c r="P25" s="608" t="s">
        <v>286</v>
      </c>
      <c r="Q25" s="346">
        <v>21655.496999999999</v>
      </c>
      <c r="R25" s="346">
        <v>17479.114000000001</v>
      </c>
      <c r="S25" s="468">
        <v>9.16</v>
      </c>
      <c r="T25" s="472">
        <f t="shared" si="10"/>
        <v>1601.0868424</v>
      </c>
      <c r="U25" s="473">
        <f t="shared" si="11"/>
        <v>39134.611000000004</v>
      </c>
    </row>
    <row r="26" spans="2:21" x14ac:dyDescent="0.2">
      <c r="B26" s="609" t="s">
        <v>307</v>
      </c>
      <c r="C26" s="346">
        <v>8.0540900000000004</v>
      </c>
      <c r="D26" s="346">
        <v>16.745930000000001</v>
      </c>
      <c r="E26" s="468">
        <v>5.48</v>
      </c>
      <c r="F26" s="472">
        <f t="shared" si="6"/>
        <v>0.91767696400000021</v>
      </c>
      <c r="G26" s="473">
        <f t="shared" si="7"/>
        <v>24.800020000000004</v>
      </c>
      <c r="I26" s="609" t="s">
        <v>307</v>
      </c>
      <c r="J26" s="346">
        <v>1821.8979999999999</v>
      </c>
      <c r="K26" s="346">
        <v>6429.5550000000003</v>
      </c>
      <c r="L26" s="468">
        <v>7.14</v>
      </c>
      <c r="M26" s="472">
        <f t="shared" si="8"/>
        <v>459.07022699999999</v>
      </c>
      <c r="N26" s="473">
        <f t="shared" si="9"/>
        <v>8251.4529999999995</v>
      </c>
      <c r="P26" s="609" t="s">
        <v>307</v>
      </c>
      <c r="Q26" s="346">
        <v>7957.8720000000003</v>
      </c>
      <c r="R26" s="346">
        <v>15157.57</v>
      </c>
      <c r="S26" s="468">
        <v>9.6199999999999992</v>
      </c>
      <c r="T26" s="472">
        <f t="shared" si="10"/>
        <v>1458.158234</v>
      </c>
      <c r="U26" s="473">
        <f t="shared" si="11"/>
        <v>23115.441999999999</v>
      </c>
    </row>
    <row r="27" spans="2:21" x14ac:dyDescent="0.2">
      <c r="B27" s="608" t="s">
        <v>287</v>
      </c>
      <c r="C27" s="346">
        <v>17.605900000000002</v>
      </c>
      <c r="D27" s="346">
        <v>15.72425</v>
      </c>
      <c r="E27" s="468">
        <v>7.12</v>
      </c>
      <c r="F27" s="472">
        <f t="shared" si="6"/>
        <v>1.1195666</v>
      </c>
      <c r="G27" s="473">
        <f t="shared" si="7"/>
        <v>33.330150000000003</v>
      </c>
      <c r="I27" s="608" t="s">
        <v>287</v>
      </c>
      <c r="J27" s="346">
        <v>3382.819</v>
      </c>
      <c r="K27" s="346">
        <v>4079.4380000000001</v>
      </c>
      <c r="L27" s="468">
        <v>7.87</v>
      </c>
      <c r="M27" s="472">
        <f t="shared" si="8"/>
        <v>321.0517706</v>
      </c>
      <c r="N27" s="473">
        <f t="shared" si="9"/>
        <v>7462.2569999999996</v>
      </c>
      <c r="P27" s="608" t="s">
        <v>287</v>
      </c>
      <c r="Q27" s="346">
        <v>18879.43</v>
      </c>
      <c r="R27" s="346">
        <v>10462.906999999999</v>
      </c>
      <c r="S27" s="468">
        <v>9.36</v>
      </c>
      <c r="T27" s="472">
        <f t="shared" si="10"/>
        <v>979.32809519999978</v>
      </c>
      <c r="U27" s="473">
        <f t="shared" si="11"/>
        <v>29342.337</v>
      </c>
    </row>
    <row r="28" spans="2:21" x14ac:dyDescent="0.2">
      <c r="B28" s="609" t="s">
        <v>288</v>
      </c>
      <c r="C28" s="346">
        <v>4.7160200000000003</v>
      </c>
      <c r="D28" s="346">
        <v>7.3907499999999997</v>
      </c>
      <c r="E28" s="468">
        <v>10.36</v>
      </c>
      <c r="F28" s="472">
        <f t="shared" si="6"/>
        <v>0.76568169999999991</v>
      </c>
      <c r="G28" s="473">
        <f t="shared" si="7"/>
        <v>12.106770000000001</v>
      </c>
      <c r="I28" s="609" t="s">
        <v>288</v>
      </c>
      <c r="J28" s="346">
        <v>1088.232</v>
      </c>
      <c r="K28" s="346">
        <v>2411.3879999999999</v>
      </c>
      <c r="L28" s="468">
        <v>12.68</v>
      </c>
      <c r="M28" s="472">
        <f t="shared" si="8"/>
        <v>305.76399839999999</v>
      </c>
      <c r="N28" s="473">
        <f t="shared" si="9"/>
        <v>3499.62</v>
      </c>
      <c r="P28" s="609" t="s">
        <v>288</v>
      </c>
      <c r="Q28" s="346">
        <v>3794.451</v>
      </c>
      <c r="R28" s="346">
        <v>5483.6</v>
      </c>
      <c r="S28" s="468">
        <v>14.87</v>
      </c>
      <c r="T28" s="472">
        <f t="shared" si="10"/>
        <v>815.41131999999993</v>
      </c>
      <c r="U28" s="473">
        <f t="shared" si="11"/>
        <v>9278.0509999999995</v>
      </c>
    </row>
    <row r="29" spans="2:21" x14ac:dyDescent="0.2">
      <c r="B29" s="608" t="s">
        <v>305</v>
      </c>
      <c r="C29" s="346">
        <v>0.58132000000000006</v>
      </c>
      <c r="D29" s="346">
        <v>2.0668699999999998</v>
      </c>
      <c r="E29" s="468">
        <v>19.760000000000002</v>
      </c>
      <c r="F29" s="472">
        <f t="shared" si="6"/>
        <v>0.40841351199999998</v>
      </c>
      <c r="G29" s="473">
        <f t="shared" si="7"/>
        <v>2.6481899999999996</v>
      </c>
      <c r="I29" s="608" t="s">
        <v>305</v>
      </c>
      <c r="J29" s="346">
        <v>128.36199999999999</v>
      </c>
      <c r="K29" s="346">
        <v>600.87199999999996</v>
      </c>
      <c r="L29" s="468">
        <v>18.899999999999999</v>
      </c>
      <c r="M29" s="472">
        <f t="shared" si="8"/>
        <v>113.56480799999997</v>
      </c>
      <c r="N29" s="473">
        <f t="shared" si="9"/>
        <v>729.23399999999992</v>
      </c>
      <c r="P29" s="608" t="s">
        <v>305</v>
      </c>
      <c r="Q29" s="346">
        <v>509.09300000000002</v>
      </c>
      <c r="R29" s="346">
        <v>1634.7049999999999</v>
      </c>
      <c r="S29" s="468">
        <v>28.62</v>
      </c>
      <c r="T29" s="472">
        <f t="shared" si="10"/>
        <v>467.85257100000001</v>
      </c>
      <c r="U29" s="473">
        <f t="shared" si="11"/>
        <v>2143.7979999999998</v>
      </c>
    </row>
    <row r="30" spans="2:21" x14ac:dyDescent="0.2">
      <c r="B30" s="609" t="s">
        <v>289</v>
      </c>
      <c r="C30" s="346">
        <v>0.22287000000000001</v>
      </c>
      <c r="D30" s="346">
        <v>2.8965300000000003</v>
      </c>
      <c r="E30" s="468">
        <v>17.07</v>
      </c>
      <c r="F30" s="472">
        <f t="shared" si="6"/>
        <v>0.49443767100000002</v>
      </c>
      <c r="G30" s="473">
        <f t="shared" si="7"/>
        <v>3.1194000000000002</v>
      </c>
      <c r="I30" s="609" t="s">
        <v>289</v>
      </c>
      <c r="J30" s="346">
        <v>50.957999999999998</v>
      </c>
      <c r="K30" s="346">
        <v>924.99400000000003</v>
      </c>
      <c r="L30" s="468">
        <v>17.899999999999999</v>
      </c>
      <c r="M30" s="472">
        <f t="shared" si="8"/>
        <v>165.573926</v>
      </c>
      <c r="N30" s="473">
        <f t="shared" si="9"/>
        <v>975.952</v>
      </c>
      <c r="P30" s="609" t="s">
        <v>289</v>
      </c>
      <c r="Q30" s="346">
        <v>152.40199999999999</v>
      </c>
      <c r="R30" s="346">
        <v>2050.7620000000002</v>
      </c>
      <c r="S30" s="468">
        <v>20.78</v>
      </c>
      <c r="T30" s="472">
        <f t="shared" si="10"/>
        <v>426.14834360000009</v>
      </c>
      <c r="U30" s="473">
        <f t="shared" si="11"/>
        <v>2203.1640000000002</v>
      </c>
    </row>
    <row r="31" spans="2:21" x14ac:dyDescent="0.2">
      <c r="B31" s="608" t="s">
        <v>306</v>
      </c>
      <c r="C31" s="346">
        <v>2.5344600000000002</v>
      </c>
      <c r="D31" s="346">
        <v>7.7100400000000002</v>
      </c>
      <c r="E31" s="468">
        <v>8.5500000000000007</v>
      </c>
      <c r="F31" s="472">
        <f t="shared" si="6"/>
        <v>0.65920842000000013</v>
      </c>
      <c r="G31" s="473">
        <f t="shared" si="7"/>
        <v>10.2445</v>
      </c>
      <c r="I31" s="608" t="s">
        <v>306</v>
      </c>
      <c r="J31" s="346">
        <v>536.35400000000004</v>
      </c>
      <c r="K31" s="346">
        <v>2822.6860000000001</v>
      </c>
      <c r="L31" s="468">
        <v>10.39</v>
      </c>
      <c r="M31" s="472">
        <f t="shared" si="8"/>
        <v>293.27707540000006</v>
      </c>
      <c r="N31" s="473">
        <f t="shared" si="9"/>
        <v>3359.04</v>
      </c>
      <c r="P31" s="608" t="s">
        <v>306</v>
      </c>
      <c r="Q31" s="346">
        <v>2597.6170000000002</v>
      </c>
      <c r="R31" s="346">
        <v>6826.3419999999996</v>
      </c>
      <c r="S31" s="468">
        <v>10.94</v>
      </c>
      <c r="T31" s="472">
        <f t="shared" si="10"/>
        <v>746.80181479999999</v>
      </c>
      <c r="U31" s="473">
        <f t="shared" si="11"/>
        <v>9423.9589999999989</v>
      </c>
    </row>
    <row r="32" spans="2:21" x14ac:dyDescent="0.2">
      <c r="B32" s="609" t="s">
        <v>290</v>
      </c>
      <c r="C32" s="346">
        <v>3.00421</v>
      </c>
      <c r="D32" s="346">
        <v>5.1026300000000004</v>
      </c>
      <c r="E32" s="468">
        <v>12.79</v>
      </c>
      <c r="F32" s="472">
        <f t="shared" si="6"/>
        <v>0.65262637700000004</v>
      </c>
      <c r="G32" s="473">
        <f t="shared" si="7"/>
        <v>8.10684</v>
      </c>
      <c r="I32" s="609" t="s">
        <v>290</v>
      </c>
      <c r="J32" s="346">
        <v>701.005</v>
      </c>
      <c r="K32" s="346">
        <v>1162.385</v>
      </c>
      <c r="L32" s="468">
        <v>12.31</v>
      </c>
      <c r="M32" s="472">
        <f t="shared" si="8"/>
        <v>143.08959350000001</v>
      </c>
      <c r="N32" s="473">
        <f t="shared" si="9"/>
        <v>1863.3899999999999</v>
      </c>
      <c r="P32" s="609" t="s">
        <v>290</v>
      </c>
      <c r="Q32" s="346">
        <v>2461.973</v>
      </c>
      <c r="R32" s="346">
        <v>4037.9679999999998</v>
      </c>
      <c r="S32" s="468">
        <v>18.18</v>
      </c>
      <c r="T32" s="472">
        <f t="shared" si="10"/>
        <v>734.10258239999996</v>
      </c>
      <c r="U32" s="473">
        <f t="shared" si="11"/>
        <v>6499.9409999999998</v>
      </c>
    </row>
    <row r="33" spans="2:21" x14ac:dyDescent="0.2">
      <c r="B33" s="608" t="s">
        <v>291</v>
      </c>
      <c r="C33" s="346">
        <v>37.577539999999999</v>
      </c>
      <c r="D33" s="346">
        <v>23.771470000000001</v>
      </c>
      <c r="E33" s="468">
        <v>5.88</v>
      </c>
      <c r="F33" s="472">
        <f t="shared" si="6"/>
        <v>1.3977624360000001</v>
      </c>
      <c r="G33" s="473">
        <f t="shared" si="7"/>
        <v>61.34901</v>
      </c>
      <c r="I33" s="608" t="s">
        <v>291</v>
      </c>
      <c r="J33" s="346">
        <v>6610.5060000000003</v>
      </c>
      <c r="K33" s="346">
        <v>8211.4609999999993</v>
      </c>
      <c r="L33" s="468">
        <v>7.64</v>
      </c>
      <c r="M33" s="472">
        <f t="shared" si="8"/>
        <v>627.35562039999991</v>
      </c>
      <c r="N33" s="473">
        <f t="shared" si="9"/>
        <v>14821.967000000001</v>
      </c>
      <c r="P33" s="608" t="s">
        <v>291</v>
      </c>
      <c r="Q33" s="346">
        <v>58021.981</v>
      </c>
      <c r="R33" s="346">
        <v>28155.359</v>
      </c>
      <c r="S33" s="468">
        <v>9.49</v>
      </c>
      <c r="T33" s="472">
        <f t="shared" si="10"/>
        <v>2671.9435691000003</v>
      </c>
      <c r="U33" s="473">
        <f t="shared" si="11"/>
        <v>86177.34</v>
      </c>
    </row>
    <row r="34" spans="2:21" x14ac:dyDescent="0.2">
      <c r="B34" s="609" t="s">
        <v>292</v>
      </c>
      <c r="C34" s="346">
        <v>7.6618399999999998</v>
      </c>
      <c r="D34" s="346">
        <v>13.135069999999999</v>
      </c>
      <c r="E34" s="468">
        <v>5.31</v>
      </c>
      <c r="F34" s="472">
        <f t="shared" si="6"/>
        <v>0.69747221699999984</v>
      </c>
      <c r="G34" s="473">
        <f t="shared" si="7"/>
        <v>20.796909999999997</v>
      </c>
      <c r="I34" s="609" t="s">
        <v>292</v>
      </c>
      <c r="J34" s="346">
        <v>2183.2530000000002</v>
      </c>
      <c r="K34" s="346">
        <v>4713.0029999999997</v>
      </c>
      <c r="L34" s="468">
        <v>6.44</v>
      </c>
      <c r="M34" s="472">
        <f t="shared" si="8"/>
        <v>303.51739320000001</v>
      </c>
      <c r="N34" s="473">
        <f t="shared" si="9"/>
        <v>6896.2559999999994</v>
      </c>
      <c r="P34" s="609" t="s">
        <v>292</v>
      </c>
      <c r="Q34" s="346">
        <v>6295.808</v>
      </c>
      <c r="R34" s="346">
        <v>11965.755999999999</v>
      </c>
      <c r="S34" s="468">
        <v>9.36</v>
      </c>
      <c r="T34" s="472">
        <f t="shared" si="10"/>
        <v>1119.9947615999999</v>
      </c>
      <c r="U34" s="473">
        <f t="shared" si="11"/>
        <v>18261.563999999998</v>
      </c>
    </row>
    <row r="35" spans="2:21" x14ac:dyDescent="0.2">
      <c r="B35" s="608" t="s">
        <v>293</v>
      </c>
      <c r="C35" s="346">
        <v>1.1405399999999999</v>
      </c>
      <c r="D35" s="346">
        <v>14.0055</v>
      </c>
      <c r="E35" s="468">
        <v>5.93</v>
      </c>
      <c r="F35" s="472">
        <f t="shared" si="6"/>
        <v>0.83052614999999985</v>
      </c>
      <c r="G35" s="473">
        <f t="shared" si="7"/>
        <v>15.146039999999999</v>
      </c>
      <c r="I35" s="608" t="s">
        <v>293</v>
      </c>
      <c r="J35" s="346">
        <v>273.46699999999998</v>
      </c>
      <c r="K35" s="346">
        <v>5134.9880000000003</v>
      </c>
      <c r="L35" s="468">
        <v>7</v>
      </c>
      <c r="M35" s="472">
        <f t="shared" si="8"/>
        <v>359.44916000000006</v>
      </c>
      <c r="N35" s="473">
        <f t="shared" si="9"/>
        <v>5408.4549999999999</v>
      </c>
      <c r="P35" s="608" t="s">
        <v>293</v>
      </c>
      <c r="Q35" s="346">
        <v>825.09900000000005</v>
      </c>
      <c r="R35" s="346">
        <v>10385.531999999999</v>
      </c>
      <c r="S35" s="468">
        <v>10.029999999999999</v>
      </c>
      <c r="T35" s="472">
        <f t="shared" si="10"/>
        <v>1041.6688595999999</v>
      </c>
      <c r="U35" s="473">
        <f t="shared" si="11"/>
        <v>11210.630999999999</v>
      </c>
    </row>
    <row r="36" spans="2:21" x14ac:dyDescent="0.2">
      <c r="B36" s="609" t="s">
        <v>294</v>
      </c>
      <c r="C36" s="346">
        <v>6.0478100000000001</v>
      </c>
      <c r="D36" s="346">
        <v>14.57615</v>
      </c>
      <c r="E36" s="468">
        <v>5.34</v>
      </c>
      <c r="F36" s="472">
        <f t="shared" si="6"/>
        <v>0.77836640999999995</v>
      </c>
      <c r="G36" s="473">
        <f t="shared" si="7"/>
        <v>20.62396</v>
      </c>
      <c r="I36" s="609" t="s">
        <v>294</v>
      </c>
      <c r="J36" s="346">
        <v>1422.7909999999999</v>
      </c>
      <c r="K36" s="346">
        <v>6317.1670000000004</v>
      </c>
      <c r="L36" s="468">
        <v>8.24</v>
      </c>
      <c r="M36" s="472">
        <f t="shared" si="8"/>
        <v>520.53456080000001</v>
      </c>
      <c r="N36" s="473">
        <f t="shared" si="9"/>
        <v>7739.9580000000005</v>
      </c>
      <c r="P36" s="609" t="s">
        <v>294</v>
      </c>
      <c r="Q36" s="346">
        <v>4918.6819999999998</v>
      </c>
      <c r="R36" s="346">
        <v>10318.472</v>
      </c>
      <c r="S36" s="468">
        <v>8.02</v>
      </c>
      <c r="T36" s="472">
        <f t="shared" si="10"/>
        <v>827.54145439999991</v>
      </c>
      <c r="U36" s="473">
        <f t="shared" si="11"/>
        <v>15237.153999999999</v>
      </c>
    </row>
    <row r="37" spans="2:21" x14ac:dyDescent="0.2">
      <c r="B37" s="608" t="s">
        <v>295</v>
      </c>
      <c r="C37" s="346">
        <v>11.581440000000001</v>
      </c>
      <c r="D37" s="346">
        <v>18.497499999999999</v>
      </c>
      <c r="E37" s="468">
        <v>6.24</v>
      </c>
      <c r="F37" s="472">
        <f t="shared" si="6"/>
        <v>1.1542439999999998</v>
      </c>
      <c r="G37" s="473">
        <f t="shared" si="7"/>
        <v>30.078939999999999</v>
      </c>
      <c r="I37" s="608" t="s">
        <v>295</v>
      </c>
      <c r="J37" s="346">
        <v>3057.8180000000002</v>
      </c>
      <c r="K37" s="346">
        <v>8707.0329999999994</v>
      </c>
      <c r="L37" s="468">
        <v>9.33</v>
      </c>
      <c r="M37" s="472">
        <f t="shared" si="8"/>
        <v>812.36617889999991</v>
      </c>
      <c r="N37" s="473">
        <f t="shared" si="9"/>
        <v>11764.850999999999</v>
      </c>
      <c r="P37" s="608" t="s">
        <v>295</v>
      </c>
      <c r="Q37" s="346">
        <v>8521.9660000000003</v>
      </c>
      <c r="R37" s="346">
        <v>13060.883</v>
      </c>
      <c r="S37" s="468">
        <v>9.09</v>
      </c>
      <c r="T37" s="472">
        <f t="shared" si="10"/>
        <v>1187.2342646999998</v>
      </c>
      <c r="U37" s="473">
        <f t="shared" si="11"/>
        <v>21582.849000000002</v>
      </c>
    </row>
    <row r="38" spans="2:21" ht="13.5" thickBot="1" x14ac:dyDescent="0.25">
      <c r="B38" s="604" t="s">
        <v>296</v>
      </c>
      <c r="C38" s="352">
        <v>13.151479999999999</v>
      </c>
      <c r="D38" s="352">
        <v>18.289249999999999</v>
      </c>
      <c r="E38" s="469">
        <v>4.3099999999999996</v>
      </c>
      <c r="F38" s="474">
        <f t="shared" si="6"/>
        <v>0.78826667499999981</v>
      </c>
      <c r="G38" s="475">
        <f t="shared" si="7"/>
        <v>31.440729999999999</v>
      </c>
      <c r="I38" s="604" t="s">
        <v>296</v>
      </c>
      <c r="J38" s="352">
        <v>2406.424</v>
      </c>
      <c r="K38" s="352">
        <v>5977.9780000000001</v>
      </c>
      <c r="L38" s="469">
        <v>6.12</v>
      </c>
      <c r="M38" s="474">
        <f t="shared" si="8"/>
        <v>365.85225360000004</v>
      </c>
      <c r="N38" s="475">
        <f t="shared" si="9"/>
        <v>8384.402</v>
      </c>
      <c r="P38" s="604" t="s">
        <v>296</v>
      </c>
      <c r="Q38" s="352">
        <v>13108.904</v>
      </c>
      <c r="R38" s="352">
        <v>18485.322</v>
      </c>
      <c r="S38" s="469">
        <v>6.7</v>
      </c>
      <c r="T38" s="474">
        <f t="shared" si="10"/>
        <v>1238.5165740000002</v>
      </c>
      <c r="U38" s="475">
        <f t="shared" si="11"/>
        <v>31594.226000000002</v>
      </c>
    </row>
    <row r="41" spans="2:21" ht="38.25" customHeight="1" x14ac:dyDescent="0.2">
      <c r="B41" s="1024" t="s">
        <v>731</v>
      </c>
      <c r="C41" s="1025"/>
      <c r="D41" s="1025"/>
      <c r="E41" s="1025"/>
      <c r="F41" s="1025"/>
      <c r="G41" s="1025"/>
      <c r="I41" s="1024" t="s">
        <v>730</v>
      </c>
      <c r="J41" s="1025"/>
      <c r="K41" s="1025"/>
      <c r="L41" s="1025"/>
      <c r="M41" s="1025"/>
      <c r="N41" s="1025"/>
      <c r="P41" s="1024" t="s">
        <v>729</v>
      </c>
      <c r="Q41" s="1025"/>
      <c r="R41" s="1025"/>
      <c r="S41" s="1025"/>
      <c r="T41" s="1025"/>
      <c r="U41" s="1025"/>
    </row>
    <row r="42" spans="2:21" ht="13.5" thickBot="1" x14ac:dyDescent="0.25">
      <c r="B42" s="614"/>
      <c r="C42" s="614" t="s">
        <v>78</v>
      </c>
      <c r="D42" s="614" t="s">
        <v>309</v>
      </c>
      <c r="E42" s="619" t="s">
        <v>82</v>
      </c>
      <c r="F42" s="614" t="s">
        <v>310</v>
      </c>
      <c r="G42" s="614" t="s">
        <v>486</v>
      </c>
      <c r="I42" s="614"/>
      <c r="J42" s="614" t="s">
        <v>78</v>
      </c>
      <c r="K42" s="614" t="s">
        <v>309</v>
      </c>
      <c r="L42" s="619" t="s">
        <v>82</v>
      </c>
      <c r="M42" s="614" t="s">
        <v>310</v>
      </c>
      <c r="N42" s="614" t="s">
        <v>486</v>
      </c>
      <c r="P42" s="614"/>
      <c r="Q42" s="614" t="s">
        <v>78</v>
      </c>
      <c r="R42" s="614" t="s">
        <v>309</v>
      </c>
      <c r="S42" s="619" t="s">
        <v>82</v>
      </c>
      <c r="T42" s="614" t="s">
        <v>310</v>
      </c>
      <c r="U42" s="614" t="s">
        <v>486</v>
      </c>
    </row>
    <row r="43" spans="2:21" x14ac:dyDescent="0.2">
      <c r="B43" s="612" t="s">
        <v>721</v>
      </c>
      <c r="C43" s="618">
        <v>53.660849999999996</v>
      </c>
      <c r="D43" s="618">
        <v>838.83070999999995</v>
      </c>
      <c r="E43" s="617">
        <v>0.83000155512029494</v>
      </c>
      <c r="F43" s="616">
        <f t="shared" ref="F43:F57" si="12">D43*E43/100</f>
        <v>6.9623079378266111</v>
      </c>
      <c r="G43" s="615">
        <f t="shared" ref="G43:G57" si="13">C43+D43</f>
        <v>892.49155999999994</v>
      </c>
      <c r="I43" s="612" t="s">
        <v>721</v>
      </c>
      <c r="J43" s="618">
        <v>8760.9670000000006</v>
      </c>
      <c r="K43" s="618">
        <v>169181.13</v>
      </c>
      <c r="L43" s="617">
        <v>1.6188044985800498</v>
      </c>
      <c r="M43" s="616">
        <f t="shared" ref="M43:M57" si="14">K43*L43/100</f>
        <v>2738.7117431885622</v>
      </c>
      <c r="N43" s="615">
        <f t="shared" ref="N43:N57" si="15">J43+K43</f>
        <v>177942.09700000001</v>
      </c>
      <c r="P43" s="612" t="s">
        <v>721</v>
      </c>
      <c r="Q43" s="618">
        <v>58204.506999999998</v>
      </c>
      <c r="R43" s="618">
        <v>983274.19900000002</v>
      </c>
      <c r="S43" s="617">
        <v>1.365053762885452</v>
      </c>
      <c r="T43" s="616">
        <f t="shared" ref="T43:T57" si="16">R43*S43/100</f>
        <v>13422.221452931286</v>
      </c>
      <c r="U43" s="615">
        <f t="shared" ref="U43:U57" si="17">Q43+R43</f>
        <v>1041478.706</v>
      </c>
    </row>
    <row r="44" spans="2:21" x14ac:dyDescent="0.2">
      <c r="B44" s="608" t="s">
        <v>286</v>
      </c>
      <c r="C44" s="346">
        <v>2.7056399999999998</v>
      </c>
      <c r="D44" s="346">
        <v>42.14284</v>
      </c>
      <c r="E44" s="468">
        <v>2.77</v>
      </c>
      <c r="F44" s="472">
        <f t="shared" si="12"/>
        <v>1.167356668</v>
      </c>
      <c r="G44" s="473">
        <f t="shared" si="13"/>
        <v>44.848480000000002</v>
      </c>
      <c r="I44" s="608" t="s">
        <v>286</v>
      </c>
      <c r="J44" s="346">
        <v>347.90800000000002</v>
      </c>
      <c r="K44" s="346">
        <v>7377.8130000000001</v>
      </c>
      <c r="L44" s="468">
        <v>6.37</v>
      </c>
      <c r="M44" s="472">
        <f t="shared" si="14"/>
        <v>469.96668810000006</v>
      </c>
      <c r="N44" s="473">
        <f t="shared" si="15"/>
        <v>7725.7210000000005</v>
      </c>
      <c r="P44" s="608" t="s">
        <v>286</v>
      </c>
      <c r="Q44" s="346">
        <v>4478.9949999999999</v>
      </c>
      <c r="R44" s="346">
        <v>45012.286999999997</v>
      </c>
      <c r="S44" s="468">
        <v>5.59</v>
      </c>
      <c r="T44" s="472">
        <f t="shared" si="16"/>
        <v>2516.1868433</v>
      </c>
      <c r="U44" s="473">
        <f t="shared" si="17"/>
        <v>49491.281999999999</v>
      </c>
    </row>
    <row r="45" spans="2:21" x14ac:dyDescent="0.2">
      <c r="B45" s="609" t="s">
        <v>307</v>
      </c>
      <c r="C45" s="346">
        <v>2.2127600000000003</v>
      </c>
      <c r="D45" s="346">
        <v>79.515889999999999</v>
      </c>
      <c r="E45" s="468">
        <v>2.44</v>
      </c>
      <c r="F45" s="472">
        <f t="shared" si="12"/>
        <v>1.9401877159999998</v>
      </c>
      <c r="G45" s="473">
        <f t="shared" si="13"/>
        <v>81.728650000000002</v>
      </c>
      <c r="I45" s="609" t="s">
        <v>307</v>
      </c>
      <c r="J45" s="346">
        <v>293.49099999999999</v>
      </c>
      <c r="K45" s="346">
        <v>17157.629000000001</v>
      </c>
      <c r="L45" s="468">
        <v>5.69</v>
      </c>
      <c r="M45" s="472">
        <f t="shared" si="14"/>
        <v>976.2690901000002</v>
      </c>
      <c r="N45" s="473">
        <f t="shared" si="15"/>
        <v>17451.120000000003</v>
      </c>
      <c r="P45" s="609" t="s">
        <v>307</v>
      </c>
      <c r="Q45" s="346">
        <v>2587.0569999999998</v>
      </c>
      <c r="R45" s="346">
        <v>98449.111000000004</v>
      </c>
      <c r="S45" s="468">
        <v>4.21</v>
      </c>
      <c r="T45" s="472">
        <f t="shared" si="16"/>
        <v>4144.7075731000004</v>
      </c>
      <c r="U45" s="473">
        <f t="shared" si="17"/>
        <v>101036.16800000001</v>
      </c>
    </row>
    <row r="46" spans="2:21" x14ac:dyDescent="0.2">
      <c r="B46" s="608" t="s">
        <v>287</v>
      </c>
      <c r="C46" s="346">
        <v>4.1018500000000007</v>
      </c>
      <c r="D46" s="346">
        <v>86.757109999999997</v>
      </c>
      <c r="E46" s="468">
        <v>2.0299999999999998</v>
      </c>
      <c r="F46" s="472">
        <f t="shared" si="12"/>
        <v>1.7611693329999998</v>
      </c>
      <c r="G46" s="473">
        <f t="shared" si="13"/>
        <v>90.858959999999996</v>
      </c>
      <c r="I46" s="608" t="s">
        <v>287</v>
      </c>
      <c r="J46" s="346">
        <v>538.20299999999997</v>
      </c>
      <c r="K46" s="346">
        <v>15643.007</v>
      </c>
      <c r="L46" s="468">
        <v>5.31</v>
      </c>
      <c r="M46" s="472">
        <f t="shared" si="14"/>
        <v>830.64367170000003</v>
      </c>
      <c r="N46" s="473">
        <f t="shared" si="15"/>
        <v>16181.21</v>
      </c>
      <c r="P46" s="608" t="s">
        <v>287</v>
      </c>
      <c r="Q46" s="346">
        <v>4193.1610000000001</v>
      </c>
      <c r="R46" s="346">
        <v>95460.7</v>
      </c>
      <c r="S46" s="468">
        <v>4.79</v>
      </c>
      <c r="T46" s="472">
        <f t="shared" si="16"/>
        <v>4572.5675299999994</v>
      </c>
      <c r="U46" s="473">
        <f t="shared" si="17"/>
        <v>99653.861000000004</v>
      </c>
    </row>
    <row r="47" spans="2:21" x14ac:dyDescent="0.2">
      <c r="B47" s="609" t="s">
        <v>288</v>
      </c>
      <c r="C47" s="346">
        <v>2.0144700000000002</v>
      </c>
      <c r="D47" s="346">
        <v>37.045209999999997</v>
      </c>
      <c r="E47" s="468">
        <v>2.93</v>
      </c>
      <c r="F47" s="472">
        <f t="shared" si="12"/>
        <v>1.085424653</v>
      </c>
      <c r="G47" s="473">
        <f t="shared" si="13"/>
        <v>39.05968</v>
      </c>
      <c r="I47" s="609" t="s">
        <v>288</v>
      </c>
      <c r="J47" s="346">
        <v>220.55799999999999</v>
      </c>
      <c r="K47" s="346">
        <v>5928.0720000000001</v>
      </c>
      <c r="L47" s="468">
        <v>9.48</v>
      </c>
      <c r="M47" s="472">
        <f t="shared" si="14"/>
        <v>561.98122560000002</v>
      </c>
      <c r="N47" s="473">
        <f t="shared" si="15"/>
        <v>6148.63</v>
      </c>
      <c r="P47" s="609" t="s">
        <v>288</v>
      </c>
      <c r="Q47" s="346">
        <v>1377.17</v>
      </c>
      <c r="R47" s="346">
        <v>40045.226000000002</v>
      </c>
      <c r="S47" s="468">
        <v>7.34</v>
      </c>
      <c r="T47" s="472">
        <f t="shared" si="16"/>
        <v>2939.3195884000002</v>
      </c>
      <c r="U47" s="473">
        <f t="shared" si="17"/>
        <v>41422.396000000001</v>
      </c>
    </row>
    <row r="48" spans="2:21" x14ac:dyDescent="0.2">
      <c r="B48" s="608" t="s">
        <v>305</v>
      </c>
      <c r="C48" s="346">
        <v>0.63409000000000004</v>
      </c>
      <c r="D48" s="346">
        <v>23.61544</v>
      </c>
      <c r="E48" s="468">
        <v>17.37</v>
      </c>
      <c r="F48" s="472">
        <f t="shared" si="12"/>
        <v>4.102001928</v>
      </c>
      <c r="G48" s="473">
        <f t="shared" si="13"/>
        <v>24.24953</v>
      </c>
      <c r="I48" s="608" t="s">
        <v>305</v>
      </c>
      <c r="J48" s="346">
        <v>51.53</v>
      </c>
      <c r="K48" s="346">
        <v>3994.7280000000001</v>
      </c>
      <c r="L48" s="468">
        <v>14.1</v>
      </c>
      <c r="M48" s="472">
        <f t="shared" si="14"/>
        <v>563.25664800000004</v>
      </c>
      <c r="N48" s="473">
        <f t="shared" si="15"/>
        <v>4046.2580000000003</v>
      </c>
      <c r="P48" s="608" t="s">
        <v>305</v>
      </c>
      <c r="Q48" s="346">
        <v>712.92</v>
      </c>
      <c r="R48" s="346">
        <v>20975.358</v>
      </c>
      <c r="S48" s="468">
        <v>11.96</v>
      </c>
      <c r="T48" s="472">
        <f t="shared" si="16"/>
        <v>2508.6528168</v>
      </c>
      <c r="U48" s="473">
        <f t="shared" si="17"/>
        <v>21688.277999999998</v>
      </c>
    </row>
    <row r="49" spans="2:21" x14ac:dyDescent="0.2">
      <c r="B49" s="609" t="s">
        <v>289</v>
      </c>
      <c r="C49" s="346">
        <v>0.50458000000000003</v>
      </c>
      <c r="D49" s="346">
        <v>29.561889999999998</v>
      </c>
      <c r="E49" s="468">
        <v>2.68</v>
      </c>
      <c r="F49" s="472">
        <f t="shared" si="12"/>
        <v>0.79225865200000001</v>
      </c>
      <c r="G49" s="473">
        <f t="shared" si="13"/>
        <v>30.066469999999999</v>
      </c>
      <c r="I49" s="609" t="s">
        <v>289</v>
      </c>
      <c r="J49" s="346">
        <v>56.539000000000001</v>
      </c>
      <c r="K49" s="346">
        <v>5432.7039999999997</v>
      </c>
      <c r="L49" s="468">
        <v>14.36</v>
      </c>
      <c r="M49" s="472">
        <f t="shared" si="14"/>
        <v>780.13629439999988</v>
      </c>
      <c r="N49" s="473">
        <f t="shared" si="15"/>
        <v>5489.2429999999995</v>
      </c>
      <c r="P49" s="609" t="s">
        <v>289</v>
      </c>
      <c r="Q49" s="346">
        <v>462.83800000000002</v>
      </c>
      <c r="R49" s="346">
        <v>27508.71</v>
      </c>
      <c r="S49" s="468">
        <v>7.28</v>
      </c>
      <c r="T49" s="472">
        <f t="shared" si="16"/>
        <v>2002.634088</v>
      </c>
      <c r="U49" s="473">
        <f t="shared" si="17"/>
        <v>27971.547999999999</v>
      </c>
    </row>
    <row r="50" spans="2:21" x14ac:dyDescent="0.2">
      <c r="B50" s="608" t="s">
        <v>306</v>
      </c>
      <c r="C50" s="346">
        <v>2.83935</v>
      </c>
      <c r="D50" s="346">
        <v>83.496759999999995</v>
      </c>
      <c r="E50" s="468">
        <v>3.14</v>
      </c>
      <c r="F50" s="472">
        <f t="shared" si="12"/>
        <v>2.6217982639999997</v>
      </c>
      <c r="G50" s="473">
        <f t="shared" si="13"/>
        <v>86.336109999999991</v>
      </c>
      <c r="I50" s="608" t="s">
        <v>306</v>
      </c>
      <c r="J50" s="346">
        <v>358.00900000000001</v>
      </c>
      <c r="K50" s="346">
        <v>16863.766</v>
      </c>
      <c r="L50" s="468">
        <v>4.92</v>
      </c>
      <c r="M50" s="472">
        <f t="shared" si="14"/>
        <v>829.69728720000001</v>
      </c>
      <c r="N50" s="473">
        <f t="shared" si="15"/>
        <v>17221.775000000001</v>
      </c>
      <c r="P50" s="608" t="s">
        <v>306</v>
      </c>
      <c r="Q50" s="346">
        <v>3903.6309999999999</v>
      </c>
      <c r="R50" s="346">
        <v>121344.743</v>
      </c>
      <c r="S50" s="468">
        <v>4.88</v>
      </c>
      <c r="T50" s="472">
        <f t="shared" si="16"/>
        <v>5921.6234583999994</v>
      </c>
      <c r="U50" s="473">
        <f t="shared" si="17"/>
        <v>125248.374</v>
      </c>
    </row>
    <row r="51" spans="2:21" x14ac:dyDescent="0.2">
      <c r="B51" s="609" t="s">
        <v>290</v>
      </c>
      <c r="C51" s="346">
        <v>5.6926099999999993</v>
      </c>
      <c r="D51" s="346">
        <v>33.064999999999998</v>
      </c>
      <c r="E51" s="468">
        <v>2.74</v>
      </c>
      <c r="F51" s="472">
        <f t="shared" si="12"/>
        <v>0.90598100000000004</v>
      </c>
      <c r="G51" s="473">
        <f t="shared" si="13"/>
        <v>38.75761</v>
      </c>
      <c r="I51" s="609" t="s">
        <v>290</v>
      </c>
      <c r="J51" s="346">
        <v>784.07899999999995</v>
      </c>
      <c r="K51" s="346">
        <v>6620.7129999999997</v>
      </c>
      <c r="L51" s="468">
        <v>7.47</v>
      </c>
      <c r="M51" s="472">
        <f t="shared" si="14"/>
        <v>494.56726109999994</v>
      </c>
      <c r="N51" s="473">
        <f t="shared" si="15"/>
        <v>7404.7919999999995</v>
      </c>
      <c r="P51" s="609" t="s">
        <v>290</v>
      </c>
      <c r="Q51" s="346">
        <v>7589.9960000000001</v>
      </c>
      <c r="R51" s="346">
        <v>38591.752999999997</v>
      </c>
      <c r="S51" s="468">
        <v>6.45</v>
      </c>
      <c r="T51" s="472">
        <f t="shared" si="16"/>
        <v>2489.1680685000001</v>
      </c>
      <c r="U51" s="473">
        <f t="shared" si="17"/>
        <v>46181.748999999996</v>
      </c>
    </row>
    <row r="52" spans="2:21" x14ac:dyDescent="0.2">
      <c r="B52" s="608" t="s">
        <v>291</v>
      </c>
      <c r="C52" s="346">
        <v>2.5495999999999999</v>
      </c>
      <c r="D52" s="346">
        <v>36.332360000000001</v>
      </c>
      <c r="E52" s="468">
        <v>4.5199999999999996</v>
      </c>
      <c r="F52" s="472">
        <f t="shared" si="12"/>
        <v>1.6422226719999999</v>
      </c>
      <c r="G52" s="473">
        <f t="shared" si="13"/>
        <v>38.881959999999999</v>
      </c>
      <c r="I52" s="608" t="s">
        <v>291</v>
      </c>
      <c r="J52" s="346">
        <v>120.61</v>
      </c>
      <c r="K52" s="346">
        <v>5436.1059999999998</v>
      </c>
      <c r="L52" s="468">
        <v>7.43</v>
      </c>
      <c r="M52" s="472">
        <f t="shared" si="14"/>
        <v>403.9026758</v>
      </c>
      <c r="N52" s="473">
        <f t="shared" si="15"/>
        <v>5556.7159999999994</v>
      </c>
      <c r="P52" s="608" t="s">
        <v>291</v>
      </c>
      <c r="Q52" s="346">
        <v>2677.2739999999999</v>
      </c>
      <c r="R52" s="346">
        <v>47697.063000000002</v>
      </c>
      <c r="S52" s="468">
        <v>7.43</v>
      </c>
      <c r="T52" s="472">
        <f t="shared" si="16"/>
        <v>3543.8917809</v>
      </c>
      <c r="U52" s="473">
        <f t="shared" si="17"/>
        <v>50374.337</v>
      </c>
    </row>
    <row r="53" spans="2:21" x14ac:dyDescent="0.2">
      <c r="B53" s="609" t="s">
        <v>292</v>
      </c>
      <c r="C53" s="346">
        <v>13.469959999999999</v>
      </c>
      <c r="D53" s="346">
        <v>79.923190000000005</v>
      </c>
      <c r="E53" s="468">
        <v>1.91</v>
      </c>
      <c r="F53" s="472">
        <f t="shared" si="12"/>
        <v>1.526532929</v>
      </c>
      <c r="G53" s="473">
        <f t="shared" si="13"/>
        <v>93.393150000000006</v>
      </c>
      <c r="I53" s="609" t="s">
        <v>292</v>
      </c>
      <c r="J53" s="346">
        <v>3557.924</v>
      </c>
      <c r="K53" s="346">
        <v>18296.802</v>
      </c>
      <c r="L53" s="468">
        <v>3.74</v>
      </c>
      <c r="M53" s="472">
        <f t="shared" si="14"/>
        <v>684.30039480000005</v>
      </c>
      <c r="N53" s="473">
        <f t="shared" si="15"/>
        <v>21854.725999999999</v>
      </c>
      <c r="P53" s="609" t="s">
        <v>292</v>
      </c>
      <c r="Q53" s="346">
        <v>12595.567999999999</v>
      </c>
      <c r="R53" s="346">
        <v>96279.448000000004</v>
      </c>
      <c r="S53" s="468">
        <v>3.61</v>
      </c>
      <c r="T53" s="472">
        <f t="shared" si="16"/>
        <v>3475.6880728000001</v>
      </c>
      <c r="U53" s="473">
        <f t="shared" si="17"/>
        <v>108875.016</v>
      </c>
    </row>
    <row r="54" spans="2:21" x14ac:dyDescent="0.2">
      <c r="B54" s="608" t="s">
        <v>293</v>
      </c>
      <c r="C54" s="346">
        <v>1.42235</v>
      </c>
      <c r="D54" s="346">
        <v>72.163589999999999</v>
      </c>
      <c r="E54" s="468">
        <v>1.51</v>
      </c>
      <c r="F54" s="472">
        <f t="shared" si="12"/>
        <v>1.0896702089999999</v>
      </c>
      <c r="G54" s="473">
        <f t="shared" si="13"/>
        <v>73.585939999999994</v>
      </c>
      <c r="I54" s="608" t="s">
        <v>293</v>
      </c>
      <c r="J54" s="346">
        <v>219.81800000000001</v>
      </c>
      <c r="K54" s="346">
        <v>16471.534</v>
      </c>
      <c r="L54" s="468">
        <v>3.95</v>
      </c>
      <c r="M54" s="472">
        <f t="shared" si="14"/>
        <v>650.62559299999998</v>
      </c>
      <c r="N54" s="473">
        <f t="shared" si="15"/>
        <v>16691.351999999999</v>
      </c>
      <c r="P54" s="608" t="s">
        <v>293</v>
      </c>
      <c r="Q54" s="346">
        <v>1660.3109999999999</v>
      </c>
      <c r="R54" s="346">
        <v>81289.407999999996</v>
      </c>
      <c r="S54" s="468">
        <v>3.99</v>
      </c>
      <c r="T54" s="472">
        <f t="shared" si="16"/>
        <v>3243.4473791999999</v>
      </c>
      <c r="U54" s="473">
        <f t="shared" si="17"/>
        <v>82949.718999999997</v>
      </c>
    </row>
    <row r="55" spans="2:21" x14ac:dyDescent="0.2">
      <c r="B55" s="609" t="s">
        <v>294</v>
      </c>
      <c r="C55" s="346">
        <v>4.7088700000000001</v>
      </c>
      <c r="D55" s="346">
        <v>75.695740000000001</v>
      </c>
      <c r="E55" s="468">
        <v>2.08</v>
      </c>
      <c r="F55" s="472">
        <f t="shared" si="12"/>
        <v>1.5744713920000002</v>
      </c>
      <c r="G55" s="473">
        <f t="shared" si="13"/>
        <v>80.404610000000005</v>
      </c>
      <c r="I55" s="609" t="s">
        <v>294</v>
      </c>
      <c r="J55" s="346">
        <v>776.69600000000003</v>
      </c>
      <c r="K55" s="346">
        <v>17087.502</v>
      </c>
      <c r="L55" s="468">
        <v>5.19</v>
      </c>
      <c r="M55" s="472">
        <f t="shared" si="14"/>
        <v>886.84135380000009</v>
      </c>
      <c r="N55" s="473">
        <f t="shared" si="15"/>
        <v>17864.198</v>
      </c>
      <c r="P55" s="609" t="s">
        <v>294</v>
      </c>
      <c r="Q55" s="346">
        <v>3998.9029999999998</v>
      </c>
      <c r="R55" s="346">
        <v>86019.127999999997</v>
      </c>
      <c r="S55" s="468">
        <v>4.0599999999999996</v>
      </c>
      <c r="T55" s="472">
        <f t="shared" si="16"/>
        <v>3492.3765967999998</v>
      </c>
      <c r="U55" s="473">
        <f t="shared" si="17"/>
        <v>90018.031000000003</v>
      </c>
    </row>
    <row r="56" spans="2:21" x14ac:dyDescent="0.2">
      <c r="B56" s="608" t="s">
        <v>295</v>
      </c>
      <c r="C56" s="346">
        <v>7.87758</v>
      </c>
      <c r="D56" s="346">
        <v>93.086910000000003</v>
      </c>
      <c r="E56" s="468">
        <v>1.87</v>
      </c>
      <c r="F56" s="472">
        <f t="shared" si="12"/>
        <v>1.740725217</v>
      </c>
      <c r="G56" s="473">
        <f t="shared" si="13"/>
        <v>100.96449</v>
      </c>
      <c r="I56" s="608" t="s">
        <v>295</v>
      </c>
      <c r="J56" s="346">
        <v>1104.704</v>
      </c>
      <c r="K56" s="346">
        <v>21614.151999999998</v>
      </c>
      <c r="L56" s="468">
        <v>5.39</v>
      </c>
      <c r="M56" s="472">
        <f t="shared" si="14"/>
        <v>1165.0027928</v>
      </c>
      <c r="N56" s="473">
        <f t="shared" si="15"/>
        <v>22718.856</v>
      </c>
      <c r="P56" s="608" t="s">
        <v>295</v>
      </c>
      <c r="Q56" s="346">
        <v>9078.16</v>
      </c>
      <c r="R56" s="346">
        <v>109116.84299999999</v>
      </c>
      <c r="S56" s="468">
        <v>4.0199999999999996</v>
      </c>
      <c r="T56" s="472">
        <f t="shared" si="16"/>
        <v>4386.4970885999992</v>
      </c>
      <c r="U56" s="473">
        <f t="shared" si="17"/>
        <v>118195.003</v>
      </c>
    </row>
    <row r="57" spans="2:21" ht="13.5" thickBot="1" x14ac:dyDescent="0.25">
      <c r="B57" s="604" t="s">
        <v>296</v>
      </c>
      <c r="C57" s="352">
        <v>2.9271400000000001</v>
      </c>
      <c r="D57" s="352">
        <v>66.428780000000003</v>
      </c>
      <c r="E57" s="469">
        <v>2.23</v>
      </c>
      <c r="F57" s="474">
        <f t="shared" si="12"/>
        <v>1.4813617940000001</v>
      </c>
      <c r="G57" s="475">
        <f t="shared" si="13"/>
        <v>69.355919999999998</v>
      </c>
      <c r="I57" s="604" t="s">
        <v>296</v>
      </c>
      <c r="J57" s="352">
        <v>330.89800000000002</v>
      </c>
      <c r="K57" s="352">
        <v>11256.602000000001</v>
      </c>
      <c r="L57" s="469">
        <v>4.5599999999999996</v>
      </c>
      <c r="M57" s="474">
        <f t="shared" si="14"/>
        <v>513.30105119999996</v>
      </c>
      <c r="N57" s="475">
        <f t="shared" si="15"/>
        <v>11587.5</v>
      </c>
      <c r="P57" s="604" t="s">
        <v>296</v>
      </c>
      <c r="Q57" s="352">
        <v>2888.5230000000001</v>
      </c>
      <c r="R57" s="352">
        <v>75484.421000000002</v>
      </c>
      <c r="S57" s="469">
        <v>3.96</v>
      </c>
      <c r="T57" s="474">
        <f t="shared" si="16"/>
        <v>2989.1830716000004</v>
      </c>
      <c r="U57" s="475">
        <f t="shared" si="17"/>
        <v>78372.944000000003</v>
      </c>
    </row>
    <row r="60" spans="2:21" ht="38.25" customHeight="1" x14ac:dyDescent="0.2">
      <c r="B60" s="1024" t="s">
        <v>728</v>
      </c>
      <c r="C60" s="1025"/>
      <c r="D60" s="1025"/>
      <c r="E60" s="1025"/>
      <c r="F60" s="1025"/>
      <c r="G60" s="1025"/>
      <c r="I60" s="1024" t="s">
        <v>727</v>
      </c>
      <c r="J60" s="1025"/>
      <c r="K60" s="1025"/>
      <c r="L60" s="1025"/>
      <c r="M60" s="1025"/>
      <c r="N60" s="1025"/>
      <c r="P60" s="1024" t="s">
        <v>726</v>
      </c>
      <c r="Q60" s="1025"/>
      <c r="R60" s="1025"/>
      <c r="S60" s="1025"/>
      <c r="T60" s="1025"/>
      <c r="U60" s="1025"/>
    </row>
    <row r="61" spans="2:21" ht="13.5" thickBot="1" x14ac:dyDescent="0.25">
      <c r="B61" s="614"/>
      <c r="C61" s="614" t="s">
        <v>78</v>
      </c>
      <c r="D61" s="614" t="s">
        <v>309</v>
      </c>
      <c r="E61" s="619" t="s">
        <v>82</v>
      </c>
      <c r="F61" s="614" t="s">
        <v>310</v>
      </c>
      <c r="G61" s="614" t="s">
        <v>486</v>
      </c>
      <c r="I61" s="614"/>
      <c r="J61" s="614" t="s">
        <v>78</v>
      </c>
      <c r="K61" s="614" t="s">
        <v>309</v>
      </c>
      <c r="L61" s="619" t="s">
        <v>82</v>
      </c>
      <c r="M61" s="614" t="s">
        <v>310</v>
      </c>
      <c r="N61" s="614" t="s">
        <v>486</v>
      </c>
      <c r="P61" s="614"/>
      <c r="Q61" s="614" t="s">
        <v>78</v>
      </c>
      <c r="R61" s="614" t="s">
        <v>309</v>
      </c>
      <c r="S61" s="619" t="s">
        <v>82</v>
      </c>
      <c r="T61" s="614" t="s">
        <v>310</v>
      </c>
      <c r="U61" s="614" t="s">
        <v>486</v>
      </c>
    </row>
    <row r="62" spans="2:21" x14ac:dyDescent="0.2">
      <c r="B62" s="612" t="s">
        <v>721</v>
      </c>
      <c r="C62" s="618">
        <v>2.9447799999999997</v>
      </c>
      <c r="D62" s="618">
        <v>117.61790000000001</v>
      </c>
      <c r="E62" s="617">
        <v>2.7270042930829193</v>
      </c>
      <c r="F62" s="616">
        <f t="shared" ref="F62:F76" si="18">D62*E62/100</f>
        <v>3.2074451824339754</v>
      </c>
      <c r="G62" s="615">
        <f t="shared" ref="G62:G76" si="19">C62+D62</f>
        <v>120.56268</v>
      </c>
      <c r="I62" s="612" t="s">
        <v>721</v>
      </c>
      <c r="J62" s="618">
        <v>417.30799999999999</v>
      </c>
      <c r="K62" s="618">
        <v>29304.577000000001</v>
      </c>
      <c r="L62" s="617">
        <v>4.1090444887909863</v>
      </c>
      <c r="M62" s="616">
        <f t="shared" ref="M62:M76" si="20">K62*L62/100</f>
        <v>1204.1381061820109</v>
      </c>
      <c r="N62" s="615">
        <f t="shared" ref="N62:N76" si="21">J62+K62</f>
        <v>29721.885000000002</v>
      </c>
      <c r="P62" s="612" t="s">
        <v>721</v>
      </c>
      <c r="Q62" s="618">
        <v>3084.7159999999999</v>
      </c>
      <c r="R62" s="618">
        <v>112496.57399999999</v>
      </c>
      <c r="S62" s="617">
        <v>3.5417574645529024</v>
      </c>
      <c r="T62" s="616">
        <f t="shared" ref="T62:T76" si="22">R62*S62/100</f>
        <v>3984.3558070112795</v>
      </c>
      <c r="U62" s="615">
        <f t="shared" ref="U62:U76" si="23">Q62+R62</f>
        <v>115581.29</v>
      </c>
    </row>
    <row r="63" spans="2:21" x14ac:dyDescent="0.2">
      <c r="B63" s="608" t="s">
        <v>286</v>
      </c>
      <c r="C63" s="346">
        <v>0.16979</v>
      </c>
      <c r="D63" s="346">
        <v>3.5024799999999998</v>
      </c>
      <c r="E63" s="468">
        <v>12.65</v>
      </c>
      <c r="F63" s="472">
        <f t="shared" si="18"/>
        <v>0.44306371999999994</v>
      </c>
      <c r="G63" s="473">
        <f t="shared" si="19"/>
        <v>3.6722699999999997</v>
      </c>
      <c r="I63" s="608" t="s">
        <v>286</v>
      </c>
      <c r="J63" s="346">
        <v>27.795000000000002</v>
      </c>
      <c r="K63" s="346">
        <v>703.99400000000003</v>
      </c>
      <c r="L63" s="468">
        <v>17.399999999999999</v>
      </c>
      <c r="M63" s="472">
        <f t="shared" si="20"/>
        <v>122.494956</v>
      </c>
      <c r="N63" s="473">
        <f t="shared" si="21"/>
        <v>731.78899999999999</v>
      </c>
      <c r="P63" s="608" t="s">
        <v>286</v>
      </c>
      <c r="Q63" s="346">
        <v>330.72</v>
      </c>
      <c r="R63" s="346">
        <v>3637.3789999999999</v>
      </c>
      <c r="S63" s="468">
        <v>15.84</v>
      </c>
      <c r="T63" s="472">
        <f t="shared" si="22"/>
        <v>576.16083359999993</v>
      </c>
      <c r="U63" s="473">
        <f t="shared" si="23"/>
        <v>3968.0990000000002</v>
      </c>
    </row>
    <row r="64" spans="2:21" x14ac:dyDescent="0.2">
      <c r="B64" s="609" t="s">
        <v>307</v>
      </c>
      <c r="C64" s="346">
        <v>4.197E-2</v>
      </c>
      <c r="D64" s="346">
        <v>10.9529</v>
      </c>
      <c r="E64" s="468">
        <v>8.6199999999999992</v>
      </c>
      <c r="F64" s="472">
        <f t="shared" si="18"/>
        <v>0.94413997999999988</v>
      </c>
      <c r="G64" s="473">
        <f t="shared" si="19"/>
        <v>10.994869999999999</v>
      </c>
      <c r="I64" s="609" t="s">
        <v>307</v>
      </c>
      <c r="J64" s="346">
        <v>2.0939999999999999</v>
      </c>
      <c r="K64" s="346">
        <v>2533.0329999999999</v>
      </c>
      <c r="L64" s="468">
        <v>11.16</v>
      </c>
      <c r="M64" s="472">
        <f t="shared" si="20"/>
        <v>282.68648279999996</v>
      </c>
      <c r="N64" s="473">
        <f t="shared" si="21"/>
        <v>2535.127</v>
      </c>
      <c r="P64" s="609" t="s">
        <v>307</v>
      </c>
      <c r="Q64" s="346">
        <v>12.644</v>
      </c>
      <c r="R64" s="346">
        <v>11989.993</v>
      </c>
      <c r="S64" s="468">
        <v>10.16</v>
      </c>
      <c r="T64" s="472">
        <f t="shared" si="22"/>
        <v>1218.1832887999999</v>
      </c>
      <c r="U64" s="473">
        <f t="shared" si="23"/>
        <v>12002.637000000001</v>
      </c>
    </row>
    <row r="65" spans="2:21" x14ac:dyDescent="0.2">
      <c r="B65" s="608" t="s">
        <v>287</v>
      </c>
      <c r="C65" s="346">
        <v>0.20733000000000001</v>
      </c>
      <c r="D65" s="346">
        <v>11.5421</v>
      </c>
      <c r="E65" s="468">
        <v>9.5</v>
      </c>
      <c r="F65" s="472">
        <f t="shared" si="18"/>
        <v>1.0964995</v>
      </c>
      <c r="G65" s="473">
        <f t="shared" si="19"/>
        <v>11.74943</v>
      </c>
      <c r="I65" s="608" t="s">
        <v>287</v>
      </c>
      <c r="J65" s="346">
        <v>36.011000000000003</v>
      </c>
      <c r="K65" s="346">
        <v>2325.6579999999999</v>
      </c>
      <c r="L65" s="468">
        <v>13.59</v>
      </c>
      <c r="M65" s="472">
        <f t="shared" si="20"/>
        <v>316.05692219999997</v>
      </c>
      <c r="N65" s="473">
        <f t="shared" si="21"/>
        <v>2361.6689999999999</v>
      </c>
      <c r="P65" s="608" t="s">
        <v>287</v>
      </c>
      <c r="Q65" s="346">
        <v>276.18200000000002</v>
      </c>
      <c r="R65" s="346">
        <v>12706.105</v>
      </c>
      <c r="S65" s="468">
        <v>12.86</v>
      </c>
      <c r="T65" s="472">
        <f t="shared" si="22"/>
        <v>1634.005103</v>
      </c>
      <c r="U65" s="473">
        <f t="shared" si="23"/>
        <v>12982.287</v>
      </c>
    </row>
    <row r="66" spans="2:21" x14ac:dyDescent="0.2">
      <c r="B66" s="609" t="s">
        <v>288</v>
      </c>
      <c r="C66" s="346">
        <v>0.12731999999999999</v>
      </c>
      <c r="D66" s="346">
        <v>4.93668</v>
      </c>
      <c r="E66" s="468">
        <v>14.16</v>
      </c>
      <c r="F66" s="472">
        <f t="shared" si="18"/>
        <v>0.69903388799999999</v>
      </c>
      <c r="G66" s="473">
        <f t="shared" si="19"/>
        <v>5.0640000000000001</v>
      </c>
      <c r="I66" s="609" t="s">
        <v>288</v>
      </c>
      <c r="J66" s="346">
        <v>12.956</v>
      </c>
      <c r="K66" s="346">
        <v>1313.7059999999999</v>
      </c>
      <c r="L66" s="468">
        <v>23.07</v>
      </c>
      <c r="M66" s="472">
        <f t="shared" si="20"/>
        <v>303.07197419999994</v>
      </c>
      <c r="N66" s="473">
        <f t="shared" si="21"/>
        <v>1326.6619999999998</v>
      </c>
      <c r="P66" s="609" t="s">
        <v>288</v>
      </c>
      <c r="Q66" s="346">
        <v>52.978999999999999</v>
      </c>
      <c r="R66" s="346">
        <v>4746.777</v>
      </c>
      <c r="S66" s="468">
        <v>19.09</v>
      </c>
      <c r="T66" s="472">
        <f t="shared" si="22"/>
        <v>906.15972929999998</v>
      </c>
      <c r="U66" s="473">
        <f t="shared" si="23"/>
        <v>4799.7560000000003</v>
      </c>
    </row>
    <row r="67" spans="2:21" x14ac:dyDescent="0.2">
      <c r="B67" s="608" t="s">
        <v>305</v>
      </c>
      <c r="C67" s="346">
        <v>2.2780000000000002E-2</v>
      </c>
      <c r="D67" s="346">
        <v>2.3874</v>
      </c>
      <c r="E67" s="468">
        <v>27.47</v>
      </c>
      <c r="F67" s="472">
        <f t="shared" si="18"/>
        <v>0.65581878000000005</v>
      </c>
      <c r="G67" s="473">
        <f t="shared" si="19"/>
        <v>2.41018</v>
      </c>
      <c r="I67" s="608" t="s">
        <v>305</v>
      </c>
      <c r="J67" s="346">
        <v>0.93799999999999994</v>
      </c>
      <c r="K67" s="346">
        <v>200.95</v>
      </c>
      <c r="L67" s="468">
        <v>41.89</v>
      </c>
      <c r="M67" s="472">
        <f t="shared" si="20"/>
        <v>84.177954999999997</v>
      </c>
      <c r="N67" s="473">
        <f t="shared" si="21"/>
        <v>201.88799999999998</v>
      </c>
      <c r="P67" s="608" t="s">
        <v>305</v>
      </c>
      <c r="Q67" s="346">
        <v>25.094999999999999</v>
      </c>
      <c r="R67" s="346">
        <v>1388.671</v>
      </c>
      <c r="S67" s="468">
        <v>31.39</v>
      </c>
      <c r="T67" s="472">
        <f t="shared" si="22"/>
        <v>435.90382690000007</v>
      </c>
      <c r="U67" s="473">
        <f t="shared" si="23"/>
        <v>1413.7660000000001</v>
      </c>
    </row>
    <row r="68" spans="2:21" x14ac:dyDescent="0.2">
      <c r="B68" s="609" t="s">
        <v>289</v>
      </c>
      <c r="C68" s="346">
        <v>1.2619999999999999E-2</v>
      </c>
      <c r="D68" s="346">
        <v>2.24396</v>
      </c>
      <c r="E68" s="468">
        <v>19.920000000000002</v>
      </c>
      <c r="F68" s="472">
        <f t="shared" si="18"/>
        <v>0.44699683200000001</v>
      </c>
      <c r="G68" s="473">
        <f t="shared" si="19"/>
        <v>2.25658</v>
      </c>
      <c r="I68" s="609" t="s">
        <v>289</v>
      </c>
      <c r="J68" s="346">
        <v>2.1909999999999998</v>
      </c>
      <c r="K68" s="346">
        <v>362.23700000000002</v>
      </c>
      <c r="L68" s="468">
        <v>35.5</v>
      </c>
      <c r="M68" s="472">
        <f t="shared" si="20"/>
        <v>128.59413499999999</v>
      </c>
      <c r="N68" s="473">
        <f t="shared" si="21"/>
        <v>364.428</v>
      </c>
      <c r="P68" s="609" t="s">
        <v>289</v>
      </c>
      <c r="Q68" s="346">
        <v>20.41</v>
      </c>
      <c r="R68" s="346">
        <v>2442.5740000000001</v>
      </c>
      <c r="S68" s="468">
        <v>20.71</v>
      </c>
      <c r="T68" s="472">
        <f t="shared" si="22"/>
        <v>505.85707540000004</v>
      </c>
      <c r="U68" s="473">
        <f t="shared" si="23"/>
        <v>2462.9839999999999</v>
      </c>
    </row>
    <row r="69" spans="2:21" x14ac:dyDescent="0.2">
      <c r="B69" s="608" t="s">
        <v>306</v>
      </c>
      <c r="C69" s="346">
        <v>0.10202</v>
      </c>
      <c r="D69" s="346">
        <v>7.5619700000000005</v>
      </c>
      <c r="E69" s="468">
        <v>12.67</v>
      </c>
      <c r="F69" s="472">
        <f t="shared" si="18"/>
        <v>0.95810159900000003</v>
      </c>
      <c r="G69" s="473">
        <f t="shared" si="19"/>
        <v>7.6639900000000001</v>
      </c>
      <c r="I69" s="608" t="s">
        <v>306</v>
      </c>
      <c r="J69" s="346">
        <v>13.183999999999999</v>
      </c>
      <c r="K69" s="346">
        <v>2133.3690000000001</v>
      </c>
      <c r="L69" s="468">
        <v>16.82</v>
      </c>
      <c r="M69" s="472">
        <f t="shared" si="20"/>
        <v>358.83266580000003</v>
      </c>
      <c r="N69" s="473">
        <f t="shared" si="21"/>
        <v>2146.5530000000003</v>
      </c>
      <c r="P69" s="608" t="s">
        <v>306</v>
      </c>
      <c r="Q69" s="346">
        <v>111.19199999999999</v>
      </c>
      <c r="R69" s="346">
        <v>9038.51</v>
      </c>
      <c r="S69" s="468">
        <v>15.92</v>
      </c>
      <c r="T69" s="472">
        <f t="shared" si="22"/>
        <v>1438.9307920000001</v>
      </c>
      <c r="U69" s="473">
        <f t="shared" si="23"/>
        <v>9149.7019999999993</v>
      </c>
    </row>
    <row r="70" spans="2:21" x14ac:dyDescent="0.2">
      <c r="B70" s="609" t="s">
        <v>290</v>
      </c>
      <c r="C70" s="346">
        <v>0.86394000000000004</v>
      </c>
      <c r="D70" s="346">
        <v>6.3044599999999997</v>
      </c>
      <c r="E70" s="468">
        <v>11.14</v>
      </c>
      <c r="F70" s="472">
        <f t="shared" si="18"/>
        <v>0.70231684400000005</v>
      </c>
      <c r="G70" s="473">
        <f t="shared" si="19"/>
        <v>7.1684000000000001</v>
      </c>
      <c r="I70" s="609" t="s">
        <v>290</v>
      </c>
      <c r="J70" s="346">
        <v>130.28399999999999</v>
      </c>
      <c r="K70" s="346">
        <v>1929.934</v>
      </c>
      <c r="L70" s="468">
        <v>16.489999999999998</v>
      </c>
      <c r="M70" s="472">
        <f t="shared" si="20"/>
        <v>318.24611659999994</v>
      </c>
      <c r="N70" s="473">
        <f t="shared" si="21"/>
        <v>2060.2179999999998</v>
      </c>
      <c r="P70" s="609" t="s">
        <v>290</v>
      </c>
      <c r="Q70" s="346">
        <v>939.745</v>
      </c>
      <c r="R70" s="346">
        <v>5801.4470000000001</v>
      </c>
      <c r="S70" s="468">
        <v>11.84</v>
      </c>
      <c r="T70" s="472">
        <f t="shared" si="22"/>
        <v>686.89132480000001</v>
      </c>
      <c r="U70" s="473">
        <f t="shared" si="23"/>
        <v>6741.192</v>
      </c>
    </row>
    <row r="71" spans="2:21" x14ac:dyDescent="0.2">
      <c r="B71" s="608" t="s">
        <v>291</v>
      </c>
      <c r="C71" s="346">
        <v>1.687E-2</v>
      </c>
      <c r="D71" s="346">
        <v>5.6088900000000006</v>
      </c>
      <c r="E71" s="468">
        <v>16.47</v>
      </c>
      <c r="F71" s="472">
        <f t="shared" si="18"/>
        <v>0.92378418300000009</v>
      </c>
      <c r="G71" s="473">
        <f t="shared" si="19"/>
        <v>5.6257600000000005</v>
      </c>
      <c r="I71" s="608" t="s">
        <v>291</v>
      </c>
      <c r="J71" s="346">
        <v>0.313</v>
      </c>
      <c r="K71" s="346">
        <v>747.76900000000001</v>
      </c>
      <c r="L71" s="468">
        <v>17.989999999999998</v>
      </c>
      <c r="M71" s="472">
        <f t="shared" si="20"/>
        <v>134.52364309999999</v>
      </c>
      <c r="N71" s="473">
        <f t="shared" si="21"/>
        <v>748.08199999999999</v>
      </c>
      <c r="P71" s="608" t="s">
        <v>291</v>
      </c>
      <c r="Q71" s="346">
        <v>3.2050000000000001</v>
      </c>
      <c r="R71" s="346">
        <v>5916.0609999999997</v>
      </c>
      <c r="S71" s="468">
        <v>21.64</v>
      </c>
      <c r="T71" s="472">
        <f t="shared" si="22"/>
        <v>1280.2356004000001</v>
      </c>
      <c r="U71" s="473">
        <f t="shared" si="23"/>
        <v>5919.2659999999996</v>
      </c>
    </row>
    <row r="72" spans="2:21" x14ac:dyDescent="0.2">
      <c r="B72" s="609" t="s">
        <v>292</v>
      </c>
      <c r="C72" s="346">
        <v>0.33735999999999999</v>
      </c>
      <c r="D72" s="346">
        <v>11.74414</v>
      </c>
      <c r="E72" s="468">
        <v>6.98</v>
      </c>
      <c r="F72" s="472">
        <f t="shared" si="18"/>
        <v>0.81974097200000007</v>
      </c>
      <c r="G72" s="473">
        <f t="shared" si="19"/>
        <v>12.0815</v>
      </c>
      <c r="I72" s="609" t="s">
        <v>292</v>
      </c>
      <c r="J72" s="346">
        <v>42.268999999999998</v>
      </c>
      <c r="K72" s="346">
        <v>3228.3240000000001</v>
      </c>
      <c r="L72" s="468">
        <v>10.16</v>
      </c>
      <c r="M72" s="472">
        <f t="shared" si="20"/>
        <v>327.9977184</v>
      </c>
      <c r="N72" s="473">
        <f t="shared" si="21"/>
        <v>3270.5929999999998</v>
      </c>
      <c r="P72" s="609" t="s">
        <v>292</v>
      </c>
      <c r="Q72" s="346">
        <v>438.51100000000002</v>
      </c>
      <c r="R72" s="346">
        <v>9674.259</v>
      </c>
      <c r="S72" s="468">
        <v>8.5</v>
      </c>
      <c r="T72" s="472">
        <f t="shared" si="22"/>
        <v>822.31201499999997</v>
      </c>
      <c r="U72" s="473">
        <f t="shared" si="23"/>
        <v>10112.77</v>
      </c>
    </row>
    <row r="73" spans="2:21" x14ac:dyDescent="0.2">
      <c r="B73" s="608" t="s">
        <v>293</v>
      </c>
      <c r="C73" s="346">
        <v>9.7869999999999999E-2</v>
      </c>
      <c r="D73" s="346">
        <v>10.66949</v>
      </c>
      <c r="E73" s="468">
        <v>7.76</v>
      </c>
      <c r="F73" s="472">
        <f t="shared" si="18"/>
        <v>0.82795242399999991</v>
      </c>
      <c r="G73" s="473">
        <f t="shared" si="19"/>
        <v>10.76736</v>
      </c>
      <c r="I73" s="608" t="s">
        <v>293</v>
      </c>
      <c r="J73" s="346">
        <v>15.721</v>
      </c>
      <c r="K73" s="346">
        <v>2782.7249999999999</v>
      </c>
      <c r="L73" s="468">
        <v>10.01</v>
      </c>
      <c r="M73" s="472">
        <f t="shared" si="20"/>
        <v>278.55077249999999</v>
      </c>
      <c r="N73" s="473">
        <f t="shared" si="21"/>
        <v>2798.4459999999999</v>
      </c>
      <c r="P73" s="608" t="s">
        <v>293</v>
      </c>
      <c r="Q73" s="346">
        <v>134.43100000000001</v>
      </c>
      <c r="R73" s="346">
        <v>9108.02</v>
      </c>
      <c r="S73" s="468">
        <v>10.75</v>
      </c>
      <c r="T73" s="472">
        <f t="shared" si="22"/>
        <v>979.11215000000016</v>
      </c>
      <c r="U73" s="473">
        <f t="shared" si="23"/>
        <v>9242.4510000000009</v>
      </c>
    </row>
    <row r="74" spans="2:21" x14ac:dyDescent="0.2">
      <c r="B74" s="609" t="s">
        <v>294</v>
      </c>
      <c r="C74" s="346">
        <v>0.2999</v>
      </c>
      <c r="D74" s="346">
        <v>16.321819999999999</v>
      </c>
      <c r="E74" s="468">
        <v>7.5</v>
      </c>
      <c r="F74" s="472">
        <f t="shared" si="18"/>
        <v>1.2241365</v>
      </c>
      <c r="G74" s="473">
        <f t="shared" si="19"/>
        <v>16.62172</v>
      </c>
      <c r="I74" s="609" t="s">
        <v>294</v>
      </c>
      <c r="J74" s="346">
        <v>46.305999999999997</v>
      </c>
      <c r="K74" s="346">
        <v>4394.8010000000004</v>
      </c>
      <c r="L74" s="468">
        <v>11.41</v>
      </c>
      <c r="M74" s="472">
        <f t="shared" si="20"/>
        <v>501.44679410000003</v>
      </c>
      <c r="N74" s="473">
        <f t="shared" si="21"/>
        <v>4441.107</v>
      </c>
      <c r="P74" s="609" t="s">
        <v>294</v>
      </c>
      <c r="Q74" s="346">
        <v>197.03</v>
      </c>
      <c r="R74" s="346">
        <v>13424.214</v>
      </c>
      <c r="S74" s="468">
        <v>10.77</v>
      </c>
      <c r="T74" s="472">
        <f t="shared" si="22"/>
        <v>1445.7878477999998</v>
      </c>
      <c r="U74" s="473">
        <f t="shared" si="23"/>
        <v>13621.244000000001</v>
      </c>
    </row>
    <row r="75" spans="2:21" x14ac:dyDescent="0.2">
      <c r="B75" s="608" t="s">
        <v>295</v>
      </c>
      <c r="C75" s="346">
        <v>0.44668000000000002</v>
      </c>
      <c r="D75" s="346">
        <v>15.872129999999999</v>
      </c>
      <c r="E75" s="468">
        <v>7.25</v>
      </c>
      <c r="F75" s="472">
        <f t="shared" si="18"/>
        <v>1.1507294249999998</v>
      </c>
      <c r="G75" s="473">
        <f t="shared" si="19"/>
        <v>16.318809999999999</v>
      </c>
      <c r="I75" s="608" t="s">
        <v>295</v>
      </c>
      <c r="J75" s="346">
        <v>55.93</v>
      </c>
      <c r="K75" s="346">
        <v>5129.8940000000002</v>
      </c>
      <c r="L75" s="468">
        <v>12.72</v>
      </c>
      <c r="M75" s="472">
        <f t="shared" si="20"/>
        <v>652.52251680000006</v>
      </c>
      <c r="N75" s="473">
        <f t="shared" si="21"/>
        <v>5185.8240000000005</v>
      </c>
      <c r="P75" s="608" t="s">
        <v>295</v>
      </c>
      <c r="Q75" s="346">
        <v>404.78199999999998</v>
      </c>
      <c r="R75" s="346">
        <v>13914.303</v>
      </c>
      <c r="S75" s="468">
        <v>8.23</v>
      </c>
      <c r="T75" s="472">
        <f t="shared" si="22"/>
        <v>1145.1471369000001</v>
      </c>
      <c r="U75" s="473">
        <f t="shared" si="23"/>
        <v>14319.084999999999</v>
      </c>
    </row>
    <row r="76" spans="2:21" ht="13.5" thickBot="1" x14ac:dyDescent="0.25">
      <c r="B76" s="604" t="s">
        <v>296</v>
      </c>
      <c r="C76" s="352">
        <v>0.19833000000000001</v>
      </c>
      <c r="D76" s="352">
        <v>7.9694799999999999</v>
      </c>
      <c r="E76" s="469">
        <v>8.27</v>
      </c>
      <c r="F76" s="474">
        <f t="shared" si="18"/>
        <v>0.659075996</v>
      </c>
      <c r="G76" s="475">
        <f t="shared" si="19"/>
        <v>8.1678099999999993</v>
      </c>
      <c r="I76" s="604" t="s">
        <v>296</v>
      </c>
      <c r="J76" s="352">
        <v>31.315999999999999</v>
      </c>
      <c r="K76" s="352">
        <v>1518.183</v>
      </c>
      <c r="L76" s="469">
        <v>11.24</v>
      </c>
      <c r="M76" s="474">
        <f t="shared" si="20"/>
        <v>170.64376919999998</v>
      </c>
      <c r="N76" s="475">
        <f t="shared" si="21"/>
        <v>1549.499</v>
      </c>
      <c r="P76" s="604" t="s">
        <v>296</v>
      </c>
      <c r="Q76" s="352">
        <v>137.79</v>
      </c>
      <c r="R76" s="352">
        <v>8708.2610000000004</v>
      </c>
      <c r="S76" s="469">
        <v>10.92</v>
      </c>
      <c r="T76" s="474">
        <f t="shared" si="22"/>
        <v>950.94210120000002</v>
      </c>
      <c r="U76" s="475">
        <f t="shared" si="23"/>
        <v>8846.0510000000013</v>
      </c>
    </row>
    <row r="79" spans="2:21" ht="29.25" customHeight="1" x14ac:dyDescent="0.2">
      <c r="B79" s="1024" t="s">
        <v>725</v>
      </c>
      <c r="C79" s="1025"/>
      <c r="D79" s="1025"/>
      <c r="E79" s="1025"/>
      <c r="F79" s="1025"/>
      <c r="G79" s="1025"/>
      <c r="I79" s="1024" t="s">
        <v>724</v>
      </c>
      <c r="J79" s="1025"/>
      <c r="K79" s="1025"/>
      <c r="L79" s="1025"/>
      <c r="M79" s="1025"/>
      <c r="N79" s="1025"/>
      <c r="P79" s="1024" t="s">
        <v>723</v>
      </c>
      <c r="Q79" s="1025"/>
      <c r="R79" s="1025"/>
      <c r="S79" s="1025"/>
      <c r="T79" s="1025"/>
      <c r="U79" s="1025"/>
    </row>
    <row r="80" spans="2:21" ht="39" thickBot="1" x14ac:dyDescent="0.25">
      <c r="B80" s="614"/>
      <c r="C80" s="614" t="s">
        <v>97</v>
      </c>
      <c r="D80" s="613" t="s">
        <v>381</v>
      </c>
      <c r="E80" s="614" t="s">
        <v>83</v>
      </c>
      <c r="F80" s="614"/>
      <c r="G80" s="613"/>
      <c r="I80" s="614"/>
      <c r="J80" s="614" t="s">
        <v>97</v>
      </c>
      <c r="K80" s="613" t="s">
        <v>381</v>
      </c>
      <c r="L80" s="614" t="s">
        <v>83</v>
      </c>
      <c r="M80" s="614"/>
      <c r="N80" s="613"/>
      <c r="P80" s="614"/>
      <c r="Q80" s="614" t="s">
        <v>97</v>
      </c>
      <c r="R80" s="613" t="s">
        <v>381</v>
      </c>
      <c r="S80" s="614" t="s">
        <v>83</v>
      </c>
      <c r="T80" s="614"/>
      <c r="U80" s="613"/>
    </row>
    <row r="81" spans="2:21" x14ac:dyDescent="0.2">
      <c r="B81" s="612" t="s">
        <v>721</v>
      </c>
      <c r="C81" s="611">
        <f t="shared" ref="C81:C95" si="24">G62</f>
        <v>120.56268</v>
      </c>
      <c r="D81" s="611">
        <f t="shared" ref="D81:D95" si="25">G43-G62</f>
        <v>771.92887999999994</v>
      </c>
      <c r="E81" s="611">
        <f t="shared" ref="E81:E95" si="26">G24</f>
        <v>305.06689</v>
      </c>
      <c r="F81" s="611"/>
      <c r="G81" s="610"/>
      <c r="I81" s="612" t="s">
        <v>721</v>
      </c>
      <c r="J81" s="611">
        <f t="shared" ref="J81:J95" si="27">N62</f>
        <v>29721.885000000002</v>
      </c>
      <c r="K81" s="611">
        <f t="shared" ref="K81:K95" si="28">N43-N62</f>
        <v>148220.212</v>
      </c>
      <c r="L81" s="611">
        <f t="shared" ref="L81:L95" si="29">N24</f>
        <v>89995.516000000003</v>
      </c>
      <c r="M81" s="611"/>
      <c r="N81" s="610"/>
      <c r="P81" s="612" t="s">
        <v>721</v>
      </c>
      <c r="Q81" s="611">
        <f t="shared" ref="Q81:Q95" si="30">U62</f>
        <v>115581.29</v>
      </c>
      <c r="R81" s="611">
        <f t="shared" ref="R81:R95" si="31">U43-U62</f>
        <v>925897.41599999997</v>
      </c>
      <c r="S81" s="611">
        <f t="shared" ref="S81:S95" si="32">U24</f>
        <v>305205.06699999998</v>
      </c>
      <c r="T81" s="611"/>
      <c r="U81" s="610"/>
    </row>
    <row r="82" spans="2:21" ht="15" customHeight="1" x14ac:dyDescent="0.2">
      <c r="B82" s="608" t="s">
        <v>286</v>
      </c>
      <c r="C82" s="606">
        <f t="shared" si="24"/>
        <v>3.6722699999999997</v>
      </c>
      <c r="D82" s="606">
        <f t="shared" si="25"/>
        <v>41.176210000000005</v>
      </c>
      <c r="E82" s="607">
        <f t="shared" si="26"/>
        <v>31.27543</v>
      </c>
      <c r="F82" s="606"/>
      <c r="G82" s="605"/>
      <c r="I82" s="608" t="s">
        <v>286</v>
      </c>
      <c r="J82" s="606">
        <f t="shared" si="27"/>
        <v>731.78899999999999</v>
      </c>
      <c r="K82" s="606">
        <f t="shared" si="28"/>
        <v>6993.9320000000007</v>
      </c>
      <c r="L82" s="607">
        <f t="shared" si="29"/>
        <v>8838.6810000000005</v>
      </c>
      <c r="M82" s="606"/>
      <c r="N82" s="605"/>
      <c r="P82" s="608" t="s">
        <v>286</v>
      </c>
      <c r="Q82" s="606">
        <f t="shared" si="30"/>
        <v>3968.0990000000002</v>
      </c>
      <c r="R82" s="606">
        <f t="shared" si="31"/>
        <v>45523.182999999997</v>
      </c>
      <c r="S82" s="607">
        <f t="shared" si="32"/>
        <v>39134.611000000004</v>
      </c>
      <c r="T82" s="606"/>
      <c r="U82" s="605"/>
    </row>
    <row r="83" spans="2:21" x14ac:dyDescent="0.2">
      <c r="B83" s="609" t="s">
        <v>307</v>
      </c>
      <c r="C83" s="606">
        <f t="shared" si="24"/>
        <v>10.994869999999999</v>
      </c>
      <c r="D83" s="606">
        <f t="shared" si="25"/>
        <v>70.733779999999996</v>
      </c>
      <c r="E83" s="607">
        <f t="shared" si="26"/>
        <v>24.800020000000004</v>
      </c>
      <c r="F83" s="606"/>
      <c r="G83" s="605"/>
      <c r="I83" s="609" t="s">
        <v>307</v>
      </c>
      <c r="J83" s="606">
        <f t="shared" si="27"/>
        <v>2535.127</v>
      </c>
      <c r="K83" s="606">
        <f t="shared" si="28"/>
        <v>14915.993000000002</v>
      </c>
      <c r="L83" s="607">
        <f t="shared" si="29"/>
        <v>8251.4529999999995</v>
      </c>
      <c r="M83" s="606"/>
      <c r="N83" s="605"/>
      <c r="P83" s="609" t="s">
        <v>307</v>
      </c>
      <c r="Q83" s="606">
        <f t="shared" si="30"/>
        <v>12002.637000000001</v>
      </c>
      <c r="R83" s="606">
        <f t="shared" si="31"/>
        <v>89033.531000000003</v>
      </c>
      <c r="S83" s="607">
        <f t="shared" si="32"/>
        <v>23115.441999999999</v>
      </c>
      <c r="T83" s="606"/>
      <c r="U83" s="605"/>
    </row>
    <row r="84" spans="2:21" x14ac:dyDescent="0.2">
      <c r="B84" s="608" t="s">
        <v>287</v>
      </c>
      <c r="C84" s="606">
        <f t="shared" si="24"/>
        <v>11.74943</v>
      </c>
      <c r="D84" s="606">
        <f t="shared" si="25"/>
        <v>79.109529999999992</v>
      </c>
      <c r="E84" s="607">
        <f t="shared" si="26"/>
        <v>33.330150000000003</v>
      </c>
      <c r="F84" s="606"/>
      <c r="G84" s="605"/>
      <c r="I84" s="608" t="s">
        <v>287</v>
      </c>
      <c r="J84" s="606">
        <f t="shared" si="27"/>
        <v>2361.6689999999999</v>
      </c>
      <c r="K84" s="606">
        <f t="shared" si="28"/>
        <v>13819.540999999999</v>
      </c>
      <c r="L84" s="607">
        <f t="shared" si="29"/>
        <v>7462.2569999999996</v>
      </c>
      <c r="M84" s="606"/>
      <c r="N84" s="605"/>
      <c r="P84" s="608" t="s">
        <v>287</v>
      </c>
      <c r="Q84" s="606">
        <f t="shared" si="30"/>
        <v>12982.287</v>
      </c>
      <c r="R84" s="606">
        <f t="shared" si="31"/>
        <v>86671.574000000008</v>
      </c>
      <c r="S84" s="607">
        <f t="shared" si="32"/>
        <v>29342.337</v>
      </c>
      <c r="T84" s="606"/>
      <c r="U84" s="605"/>
    </row>
    <row r="85" spans="2:21" x14ac:dyDescent="0.2">
      <c r="B85" s="609" t="s">
        <v>288</v>
      </c>
      <c r="C85" s="606">
        <f t="shared" si="24"/>
        <v>5.0640000000000001</v>
      </c>
      <c r="D85" s="606">
        <f t="shared" si="25"/>
        <v>33.99568</v>
      </c>
      <c r="E85" s="607">
        <f t="shared" si="26"/>
        <v>12.106770000000001</v>
      </c>
      <c r="F85" s="606"/>
      <c r="G85" s="605"/>
      <c r="I85" s="609" t="s">
        <v>288</v>
      </c>
      <c r="J85" s="606">
        <f t="shared" si="27"/>
        <v>1326.6619999999998</v>
      </c>
      <c r="K85" s="606">
        <f t="shared" si="28"/>
        <v>4821.9680000000008</v>
      </c>
      <c r="L85" s="607">
        <f t="shared" si="29"/>
        <v>3499.62</v>
      </c>
      <c r="M85" s="606"/>
      <c r="N85" s="605"/>
      <c r="P85" s="609" t="s">
        <v>288</v>
      </c>
      <c r="Q85" s="606">
        <f t="shared" si="30"/>
        <v>4799.7560000000003</v>
      </c>
      <c r="R85" s="606">
        <f t="shared" si="31"/>
        <v>36622.639999999999</v>
      </c>
      <c r="S85" s="607">
        <f t="shared" si="32"/>
        <v>9278.0509999999995</v>
      </c>
      <c r="T85" s="606"/>
      <c r="U85" s="605"/>
    </row>
    <row r="86" spans="2:21" x14ac:dyDescent="0.2">
      <c r="B86" s="608" t="s">
        <v>305</v>
      </c>
      <c r="C86" s="606">
        <f t="shared" si="24"/>
        <v>2.41018</v>
      </c>
      <c r="D86" s="606">
        <f t="shared" si="25"/>
        <v>21.83935</v>
      </c>
      <c r="E86" s="607">
        <f t="shared" si="26"/>
        <v>2.6481899999999996</v>
      </c>
      <c r="F86" s="606"/>
      <c r="G86" s="605"/>
      <c r="I86" s="608" t="s">
        <v>305</v>
      </c>
      <c r="J86" s="606">
        <f t="shared" si="27"/>
        <v>201.88799999999998</v>
      </c>
      <c r="K86" s="606">
        <f t="shared" si="28"/>
        <v>3844.3700000000003</v>
      </c>
      <c r="L86" s="607">
        <f t="shared" si="29"/>
        <v>729.23399999999992</v>
      </c>
      <c r="M86" s="606"/>
      <c r="N86" s="605"/>
      <c r="P86" s="608" t="s">
        <v>305</v>
      </c>
      <c r="Q86" s="606">
        <f t="shared" si="30"/>
        <v>1413.7660000000001</v>
      </c>
      <c r="R86" s="606">
        <f t="shared" si="31"/>
        <v>20274.511999999999</v>
      </c>
      <c r="S86" s="607">
        <f t="shared" si="32"/>
        <v>2143.7979999999998</v>
      </c>
      <c r="T86" s="606"/>
      <c r="U86" s="605"/>
    </row>
    <row r="87" spans="2:21" x14ac:dyDescent="0.2">
      <c r="B87" s="609" t="s">
        <v>289</v>
      </c>
      <c r="C87" s="606">
        <f t="shared" si="24"/>
        <v>2.25658</v>
      </c>
      <c r="D87" s="606">
        <f t="shared" si="25"/>
        <v>27.809889999999999</v>
      </c>
      <c r="E87" s="607">
        <f t="shared" si="26"/>
        <v>3.1194000000000002</v>
      </c>
      <c r="F87" s="606"/>
      <c r="G87" s="605"/>
      <c r="I87" s="609" t="s">
        <v>289</v>
      </c>
      <c r="J87" s="606">
        <f t="shared" si="27"/>
        <v>364.428</v>
      </c>
      <c r="K87" s="606">
        <f t="shared" si="28"/>
        <v>5124.8149999999996</v>
      </c>
      <c r="L87" s="607">
        <f t="shared" si="29"/>
        <v>975.952</v>
      </c>
      <c r="M87" s="606"/>
      <c r="N87" s="605"/>
      <c r="P87" s="609" t="s">
        <v>289</v>
      </c>
      <c r="Q87" s="606">
        <f t="shared" si="30"/>
        <v>2462.9839999999999</v>
      </c>
      <c r="R87" s="606">
        <f t="shared" si="31"/>
        <v>25508.563999999998</v>
      </c>
      <c r="S87" s="607">
        <f t="shared" si="32"/>
        <v>2203.1640000000002</v>
      </c>
      <c r="T87" s="606"/>
      <c r="U87" s="605"/>
    </row>
    <row r="88" spans="2:21" x14ac:dyDescent="0.2">
      <c r="B88" s="608" t="s">
        <v>306</v>
      </c>
      <c r="C88" s="606">
        <f t="shared" si="24"/>
        <v>7.6639900000000001</v>
      </c>
      <c r="D88" s="606">
        <f t="shared" si="25"/>
        <v>78.672119999999993</v>
      </c>
      <c r="E88" s="607">
        <f t="shared" si="26"/>
        <v>10.2445</v>
      </c>
      <c r="F88" s="606"/>
      <c r="G88" s="605"/>
      <c r="I88" s="608" t="s">
        <v>306</v>
      </c>
      <c r="J88" s="606">
        <f t="shared" si="27"/>
        <v>2146.5530000000003</v>
      </c>
      <c r="K88" s="606">
        <f t="shared" si="28"/>
        <v>15075.222000000002</v>
      </c>
      <c r="L88" s="607">
        <f t="shared" si="29"/>
        <v>3359.04</v>
      </c>
      <c r="M88" s="606"/>
      <c r="N88" s="605"/>
      <c r="P88" s="608" t="s">
        <v>306</v>
      </c>
      <c r="Q88" s="606">
        <f t="shared" si="30"/>
        <v>9149.7019999999993</v>
      </c>
      <c r="R88" s="606">
        <f t="shared" si="31"/>
        <v>116098.67199999999</v>
      </c>
      <c r="S88" s="607">
        <f t="shared" si="32"/>
        <v>9423.9589999999989</v>
      </c>
      <c r="T88" s="606"/>
      <c r="U88" s="605"/>
    </row>
    <row r="89" spans="2:21" x14ac:dyDescent="0.2">
      <c r="B89" s="609" t="s">
        <v>290</v>
      </c>
      <c r="C89" s="606">
        <f t="shared" si="24"/>
        <v>7.1684000000000001</v>
      </c>
      <c r="D89" s="606">
        <f t="shared" si="25"/>
        <v>31.589210000000001</v>
      </c>
      <c r="E89" s="607">
        <f t="shared" si="26"/>
        <v>8.10684</v>
      </c>
      <c r="F89" s="606"/>
      <c r="G89" s="605"/>
      <c r="I89" s="609" t="s">
        <v>290</v>
      </c>
      <c r="J89" s="606">
        <f t="shared" si="27"/>
        <v>2060.2179999999998</v>
      </c>
      <c r="K89" s="606">
        <f t="shared" si="28"/>
        <v>5344.5739999999996</v>
      </c>
      <c r="L89" s="607">
        <f t="shared" si="29"/>
        <v>1863.3899999999999</v>
      </c>
      <c r="M89" s="606"/>
      <c r="N89" s="605"/>
      <c r="P89" s="609" t="s">
        <v>290</v>
      </c>
      <c r="Q89" s="606">
        <f t="shared" si="30"/>
        <v>6741.192</v>
      </c>
      <c r="R89" s="606">
        <f t="shared" si="31"/>
        <v>39440.556999999993</v>
      </c>
      <c r="S89" s="607">
        <f t="shared" si="32"/>
        <v>6499.9409999999998</v>
      </c>
      <c r="T89" s="606"/>
      <c r="U89" s="605"/>
    </row>
    <row r="90" spans="2:21" x14ac:dyDescent="0.2">
      <c r="B90" s="608" t="s">
        <v>291</v>
      </c>
      <c r="C90" s="606">
        <f t="shared" si="24"/>
        <v>5.6257600000000005</v>
      </c>
      <c r="D90" s="606">
        <f t="shared" si="25"/>
        <v>33.2562</v>
      </c>
      <c r="E90" s="607">
        <f t="shared" si="26"/>
        <v>61.34901</v>
      </c>
      <c r="F90" s="606"/>
      <c r="G90" s="605"/>
      <c r="I90" s="608" t="s">
        <v>291</v>
      </c>
      <c r="J90" s="606">
        <f t="shared" si="27"/>
        <v>748.08199999999999</v>
      </c>
      <c r="K90" s="606">
        <f t="shared" si="28"/>
        <v>4808.6339999999991</v>
      </c>
      <c r="L90" s="607">
        <f t="shared" si="29"/>
        <v>14821.967000000001</v>
      </c>
      <c r="M90" s="606"/>
      <c r="N90" s="605"/>
      <c r="P90" s="608" t="s">
        <v>291</v>
      </c>
      <c r="Q90" s="606">
        <f t="shared" si="30"/>
        <v>5919.2659999999996</v>
      </c>
      <c r="R90" s="606">
        <f t="shared" si="31"/>
        <v>44455.070999999996</v>
      </c>
      <c r="S90" s="607">
        <f t="shared" si="32"/>
        <v>86177.34</v>
      </c>
      <c r="T90" s="606"/>
      <c r="U90" s="605"/>
    </row>
    <row r="91" spans="2:21" x14ac:dyDescent="0.2">
      <c r="B91" s="609" t="s">
        <v>292</v>
      </c>
      <c r="C91" s="606">
        <f t="shared" si="24"/>
        <v>12.0815</v>
      </c>
      <c r="D91" s="606">
        <f t="shared" si="25"/>
        <v>81.31165</v>
      </c>
      <c r="E91" s="607">
        <f t="shared" si="26"/>
        <v>20.796909999999997</v>
      </c>
      <c r="F91" s="606"/>
      <c r="G91" s="605"/>
      <c r="I91" s="609" t="s">
        <v>292</v>
      </c>
      <c r="J91" s="606">
        <f t="shared" si="27"/>
        <v>3270.5929999999998</v>
      </c>
      <c r="K91" s="606">
        <f t="shared" si="28"/>
        <v>18584.132999999998</v>
      </c>
      <c r="L91" s="607">
        <f t="shared" si="29"/>
        <v>6896.2559999999994</v>
      </c>
      <c r="M91" s="606"/>
      <c r="N91" s="605"/>
      <c r="P91" s="609" t="s">
        <v>292</v>
      </c>
      <c r="Q91" s="606">
        <f t="shared" si="30"/>
        <v>10112.77</v>
      </c>
      <c r="R91" s="606">
        <f t="shared" si="31"/>
        <v>98762.245999999999</v>
      </c>
      <c r="S91" s="607">
        <f t="shared" si="32"/>
        <v>18261.563999999998</v>
      </c>
      <c r="T91" s="606"/>
      <c r="U91" s="605"/>
    </row>
    <row r="92" spans="2:21" x14ac:dyDescent="0.2">
      <c r="B92" s="608" t="s">
        <v>293</v>
      </c>
      <c r="C92" s="606">
        <f t="shared" si="24"/>
        <v>10.76736</v>
      </c>
      <c r="D92" s="606">
        <f t="shared" si="25"/>
        <v>62.818579999999997</v>
      </c>
      <c r="E92" s="607">
        <f t="shared" si="26"/>
        <v>15.146039999999999</v>
      </c>
      <c r="F92" s="606"/>
      <c r="G92" s="605"/>
      <c r="I92" s="608" t="s">
        <v>293</v>
      </c>
      <c r="J92" s="606">
        <f t="shared" si="27"/>
        <v>2798.4459999999999</v>
      </c>
      <c r="K92" s="606">
        <f t="shared" si="28"/>
        <v>13892.905999999999</v>
      </c>
      <c r="L92" s="607">
        <f t="shared" si="29"/>
        <v>5408.4549999999999</v>
      </c>
      <c r="M92" s="606"/>
      <c r="N92" s="605"/>
      <c r="P92" s="608" t="s">
        <v>293</v>
      </c>
      <c r="Q92" s="606">
        <f t="shared" si="30"/>
        <v>9242.4510000000009</v>
      </c>
      <c r="R92" s="606">
        <f t="shared" si="31"/>
        <v>73707.267999999996</v>
      </c>
      <c r="S92" s="607">
        <f t="shared" si="32"/>
        <v>11210.630999999999</v>
      </c>
      <c r="T92" s="606"/>
      <c r="U92" s="605"/>
    </row>
    <row r="93" spans="2:21" x14ac:dyDescent="0.2">
      <c r="B93" s="609" t="s">
        <v>294</v>
      </c>
      <c r="C93" s="606">
        <f t="shared" si="24"/>
        <v>16.62172</v>
      </c>
      <c r="D93" s="606">
        <f t="shared" si="25"/>
        <v>63.782890000000009</v>
      </c>
      <c r="E93" s="607">
        <f t="shared" si="26"/>
        <v>20.62396</v>
      </c>
      <c r="F93" s="606"/>
      <c r="G93" s="605"/>
      <c r="I93" s="609" t="s">
        <v>294</v>
      </c>
      <c r="J93" s="606">
        <f t="shared" si="27"/>
        <v>4441.107</v>
      </c>
      <c r="K93" s="606">
        <f t="shared" si="28"/>
        <v>13423.091</v>
      </c>
      <c r="L93" s="607">
        <f t="shared" si="29"/>
        <v>7739.9580000000005</v>
      </c>
      <c r="M93" s="606"/>
      <c r="N93" s="605"/>
      <c r="P93" s="609" t="s">
        <v>294</v>
      </c>
      <c r="Q93" s="606">
        <f t="shared" si="30"/>
        <v>13621.244000000001</v>
      </c>
      <c r="R93" s="606">
        <f t="shared" si="31"/>
        <v>76396.786999999997</v>
      </c>
      <c r="S93" s="607">
        <f t="shared" si="32"/>
        <v>15237.153999999999</v>
      </c>
      <c r="T93" s="606"/>
      <c r="U93" s="605"/>
    </row>
    <row r="94" spans="2:21" x14ac:dyDescent="0.2">
      <c r="B94" s="608" t="s">
        <v>295</v>
      </c>
      <c r="C94" s="606">
        <f t="shared" si="24"/>
        <v>16.318809999999999</v>
      </c>
      <c r="D94" s="606">
        <f t="shared" si="25"/>
        <v>84.645679999999999</v>
      </c>
      <c r="E94" s="607">
        <f t="shared" si="26"/>
        <v>30.078939999999999</v>
      </c>
      <c r="F94" s="606"/>
      <c r="G94" s="605"/>
      <c r="I94" s="608" t="s">
        <v>295</v>
      </c>
      <c r="J94" s="606">
        <f t="shared" si="27"/>
        <v>5185.8240000000005</v>
      </c>
      <c r="K94" s="606">
        <f t="shared" si="28"/>
        <v>17533.031999999999</v>
      </c>
      <c r="L94" s="607">
        <f t="shared" si="29"/>
        <v>11764.850999999999</v>
      </c>
      <c r="M94" s="606"/>
      <c r="N94" s="605"/>
      <c r="P94" s="608" t="s">
        <v>295</v>
      </c>
      <c r="Q94" s="606">
        <f t="shared" si="30"/>
        <v>14319.084999999999</v>
      </c>
      <c r="R94" s="606">
        <f t="shared" si="31"/>
        <v>103875.91800000001</v>
      </c>
      <c r="S94" s="607">
        <f t="shared" si="32"/>
        <v>21582.849000000002</v>
      </c>
      <c r="T94" s="606"/>
      <c r="U94" s="605"/>
    </row>
    <row r="95" spans="2:21" ht="13.5" thickBot="1" x14ac:dyDescent="0.25">
      <c r="B95" s="604" t="s">
        <v>296</v>
      </c>
      <c r="C95" s="602">
        <f t="shared" si="24"/>
        <v>8.1678099999999993</v>
      </c>
      <c r="D95" s="602">
        <f t="shared" si="25"/>
        <v>61.188109999999995</v>
      </c>
      <c r="E95" s="603">
        <f t="shared" si="26"/>
        <v>31.440729999999999</v>
      </c>
      <c r="F95" s="602"/>
      <c r="G95" s="601"/>
      <c r="I95" s="604" t="s">
        <v>296</v>
      </c>
      <c r="J95" s="602">
        <f t="shared" si="27"/>
        <v>1549.499</v>
      </c>
      <c r="K95" s="602">
        <f t="shared" si="28"/>
        <v>10038.001</v>
      </c>
      <c r="L95" s="603">
        <f t="shared" si="29"/>
        <v>8384.402</v>
      </c>
      <c r="M95" s="602"/>
      <c r="N95" s="601"/>
      <c r="P95" s="604" t="s">
        <v>296</v>
      </c>
      <c r="Q95" s="602">
        <f t="shared" si="30"/>
        <v>8846.0510000000013</v>
      </c>
      <c r="R95" s="602">
        <f t="shared" si="31"/>
        <v>69526.892999999996</v>
      </c>
      <c r="S95" s="603">
        <f t="shared" si="32"/>
        <v>31594.226000000002</v>
      </c>
      <c r="T95" s="602"/>
      <c r="U95" s="601"/>
    </row>
  </sheetData>
  <mergeCells count="15">
    <mergeCell ref="B3:G3"/>
    <mergeCell ref="I3:N3"/>
    <mergeCell ref="P3:U3"/>
    <mergeCell ref="B22:G22"/>
    <mergeCell ref="I22:N22"/>
    <mergeCell ref="P22:U22"/>
    <mergeCell ref="B79:G79"/>
    <mergeCell ref="I79:N79"/>
    <mergeCell ref="P79:U79"/>
    <mergeCell ref="B41:G41"/>
    <mergeCell ref="I41:N41"/>
    <mergeCell ref="P41:U41"/>
    <mergeCell ref="B60:G60"/>
    <mergeCell ref="I60:N60"/>
    <mergeCell ref="P60:U6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3:U39"/>
  <sheetViews>
    <sheetView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2" t="s">
        <v>657</v>
      </c>
      <c r="C3" s="1023"/>
      <c r="D3" s="1023"/>
      <c r="E3" s="1023"/>
      <c r="F3" s="1023"/>
      <c r="G3" s="1023"/>
      <c r="I3" s="1022" t="s">
        <v>659</v>
      </c>
      <c r="J3" s="1023"/>
      <c r="K3" s="1023"/>
      <c r="L3" s="1023"/>
      <c r="M3" s="1023"/>
      <c r="N3" s="1023"/>
      <c r="P3" s="1022" t="s">
        <v>658</v>
      </c>
      <c r="Q3" s="1023"/>
      <c r="R3" s="1023"/>
      <c r="S3" s="1023"/>
      <c r="T3" s="1023"/>
      <c r="U3" s="1023"/>
    </row>
    <row r="4" spans="2:21" ht="13.5" thickBot="1" x14ac:dyDescent="0.25">
      <c r="B4" s="444"/>
      <c r="C4" s="444" t="s">
        <v>78</v>
      </c>
      <c r="D4" s="444" t="s">
        <v>309</v>
      </c>
      <c r="E4" s="466" t="s">
        <v>82</v>
      </c>
      <c r="F4" s="444" t="s">
        <v>310</v>
      </c>
      <c r="G4" s="444" t="s">
        <v>486</v>
      </c>
      <c r="I4" s="444"/>
      <c r="J4" s="444" t="s">
        <v>78</v>
      </c>
      <c r="K4" s="444" t="s">
        <v>309</v>
      </c>
      <c r="L4" s="466" t="s">
        <v>82</v>
      </c>
      <c r="M4" s="444" t="s">
        <v>310</v>
      </c>
      <c r="N4" s="444" t="s">
        <v>486</v>
      </c>
      <c r="P4" s="444"/>
      <c r="Q4" s="444" t="s">
        <v>78</v>
      </c>
      <c r="R4" s="444" t="s">
        <v>309</v>
      </c>
      <c r="S4" s="466" t="s">
        <v>82</v>
      </c>
      <c r="T4" s="444" t="s">
        <v>310</v>
      </c>
      <c r="U4" s="444" t="s">
        <v>486</v>
      </c>
    </row>
    <row r="5" spans="2:21" x14ac:dyDescent="0.2">
      <c r="B5" s="347" t="s">
        <v>106</v>
      </c>
      <c r="C5" s="348">
        <v>181.2</v>
      </c>
      <c r="D5" s="348">
        <v>1016.37209</v>
      </c>
      <c r="E5" s="467">
        <v>0.6</v>
      </c>
      <c r="F5" s="470">
        <f>D5*E5/100</f>
        <v>6.0982325399999988</v>
      </c>
      <c r="G5" s="471">
        <f>C5+D5</f>
        <v>1197.5720899999999</v>
      </c>
      <c r="I5" s="347" t="s">
        <v>106</v>
      </c>
      <c r="J5" s="348">
        <v>35136.934000000001</v>
      </c>
      <c r="K5" s="348">
        <v>232722.22099999999</v>
      </c>
      <c r="L5" s="467">
        <v>1.3249205983688215</v>
      </c>
      <c r="M5" s="470">
        <f>K5*L5/100</f>
        <v>3083.3846430104109</v>
      </c>
      <c r="N5" s="471">
        <f>J5+K5</f>
        <v>267859.15499999997</v>
      </c>
      <c r="P5" s="347" t="s">
        <v>106</v>
      </c>
      <c r="Q5" s="348">
        <v>207905.27900000001</v>
      </c>
      <c r="R5" s="348">
        <v>1139545.4410000001</v>
      </c>
      <c r="S5" s="467">
        <v>1.2114807274468335</v>
      </c>
      <c r="T5" s="470">
        <f>R5*S5/100</f>
        <v>13805.373398214029</v>
      </c>
      <c r="U5" s="471">
        <f>Q5+R5</f>
        <v>1347450.7200000002</v>
      </c>
    </row>
    <row r="6" spans="2:21" x14ac:dyDescent="0.2">
      <c r="B6" s="349" t="s">
        <v>92</v>
      </c>
      <c r="C6" s="346">
        <v>127.5</v>
      </c>
      <c r="D6" s="346">
        <v>177.55427</v>
      </c>
      <c r="E6" s="468">
        <v>1.8</v>
      </c>
      <c r="F6" s="472">
        <f>D6*E6/100</f>
        <v>3.19597686</v>
      </c>
      <c r="G6" s="473">
        <f>C6+D6</f>
        <v>305.05426999999997</v>
      </c>
      <c r="I6" s="349" t="s">
        <v>92</v>
      </c>
      <c r="J6" s="346">
        <v>26375.967000000001</v>
      </c>
      <c r="K6" s="346">
        <v>63619.548999999999</v>
      </c>
      <c r="L6" s="468">
        <v>2.44942320338764</v>
      </c>
      <c r="M6" s="472">
        <f>K6*L6/100</f>
        <v>1558.3119950965693</v>
      </c>
      <c r="N6" s="473">
        <f>J6+K6</f>
        <v>89995.516000000003</v>
      </c>
      <c r="P6" s="349" t="s">
        <v>92</v>
      </c>
      <c r="Q6" s="346">
        <v>149700.77499999999</v>
      </c>
      <c r="R6" s="346">
        <v>155504.29199999999</v>
      </c>
      <c r="S6" s="468">
        <v>2.9411401766810834</v>
      </c>
      <c r="T6" s="472">
        <f>R6*S6/100</f>
        <v>4573.599208475468</v>
      </c>
      <c r="U6" s="473">
        <f>Q6+R6</f>
        <v>305205.06699999998</v>
      </c>
    </row>
    <row r="7" spans="2:21" x14ac:dyDescent="0.2">
      <c r="B7" s="350" t="s">
        <v>105</v>
      </c>
      <c r="C7" s="346">
        <v>53.7</v>
      </c>
      <c r="D7" s="346">
        <v>838.83070999999995</v>
      </c>
      <c r="E7" s="468">
        <v>0.8</v>
      </c>
      <c r="F7" s="472">
        <f>D7*E7/100</f>
        <v>6.7106456799999998</v>
      </c>
      <c r="G7" s="473">
        <f>C7+D7</f>
        <v>892.53071</v>
      </c>
      <c r="I7" s="350" t="s">
        <v>105</v>
      </c>
      <c r="J7" s="346">
        <v>8760.9670000000006</v>
      </c>
      <c r="K7" s="346">
        <v>169181.13</v>
      </c>
      <c r="L7" s="468">
        <v>1.6188044985800498</v>
      </c>
      <c r="M7" s="472">
        <f>K7*L7/100</f>
        <v>2738.7117431885622</v>
      </c>
      <c r="N7" s="473">
        <f>J7+K7</f>
        <v>177942.09700000001</v>
      </c>
      <c r="P7" s="350" t="s">
        <v>105</v>
      </c>
      <c r="Q7" s="346">
        <v>58204.506999999998</v>
      </c>
      <c r="R7" s="346">
        <v>983274.19900000002</v>
      </c>
      <c r="S7" s="468">
        <v>1.365053762885452</v>
      </c>
      <c r="T7" s="472">
        <f>R7*S7/100</f>
        <v>13422.221452931286</v>
      </c>
      <c r="U7" s="473">
        <f>Q7+R7</f>
        <v>1041478.706</v>
      </c>
    </row>
    <row r="8" spans="2:21" ht="13.5" thickBot="1" x14ac:dyDescent="0.25">
      <c r="B8" s="351" t="s">
        <v>94</v>
      </c>
      <c r="C8" s="352">
        <v>15.7</v>
      </c>
      <c r="D8" s="352">
        <v>150.71477000000002</v>
      </c>
      <c r="E8" s="469">
        <v>2.5538579194905484</v>
      </c>
      <c r="F8" s="474">
        <f>D8*E8/100</f>
        <v>3.8490410894869656</v>
      </c>
      <c r="G8" s="475">
        <f>C8+D8</f>
        <v>166.41477</v>
      </c>
      <c r="I8" s="351" t="s">
        <v>94</v>
      </c>
      <c r="J8" s="352">
        <v>3345.3009999999999</v>
      </c>
      <c r="K8" s="352">
        <v>50885.180999999997</v>
      </c>
      <c r="L8" s="469">
        <v>3.4947469097501185</v>
      </c>
      <c r="M8" s="474">
        <f>K8*L8/100</f>
        <v>1778.3082905182541</v>
      </c>
      <c r="N8" s="475">
        <f>J8+K8</f>
        <v>54230.481999999996</v>
      </c>
      <c r="P8" s="351" t="s">
        <v>94</v>
      </c>
      <c r="Q8" s="352">
        <v>16920.057000000001</v>
      </c>
      <c r="R8" s="352">
        <v>91445.638999999996</v>
      </c>
      <c r="S8" s="469">
        <v>3.4430090989665878</v>
      </c>
      <c r="T8" s="474">
        <f>R8*S8/100</f>
        <v>3148.4816713781388</v>
      </c>
      <c r="U8" s="475">
        <f>Q8+R8</f>
        <v>108365.696</v>
      </c>
    </row>
    <row r="11" spans="2:21" ht="38.25" customHeight="1" x14ac:dyDescent="0.2">
      <c r="B11" s="1022" t="s">
        <v>674</v>
      </c>
      <c r="C11" s="1023"/>
      <c r="D11" s="1023"/>
      <c r="E11" s="1023"/>
      <c r="F11" s="1023"/>
      <c r="G11" s="1023"/>
      <c r="I11" s="1022" t="s">
        <v>675</v>
      </c>
      <c r="J11" s="1023"/>
      <c r="K11" s="1023"/>
      <c r="L11" s="1023"/>
      <c r="M11" s="1023"/>
      <c r="N11" s="1023"/>
      <c r="P11" s="1022" t="s">
        <v>676</v>
      </c>
      <c r="Q11" s="1023"/>
      <c r="R11" s="1023"/>
      <c r="S11" s="1023"/>
      <c r="T11" s="1023"/>
      <c r="U11" s="1023"/>
    </row>
    <row r="12" spans="2:21" ht="13.5" thickBot="1" x14ac:dyDescent="0.25">
      <c r="B12" s="444"/>
      <c r="C12" s="444" t="s">
        <v>78</v>
      </c>
      <c r="D12" s="444" t="s">
        <v>309</v>
      </c>
      <c r="E12" s="466" t="s">
        <v>82</v>
      </c>
      <c r="F12" s="444" t="s">
        <v>310</v>
      </c>
      <c r="G12" s="444" t="s">
        <v>486</v>
      </c>
      <c r="I12" s="444"/>
      <c r="J12" s="444" t="s">
        <v>78</v>
      </c>
      <c r="K12" s="444" t="s">
        <v>309</v>
      </c>
      <c r="L12" s="466" t="s">
        <v>82</v>
      </c>
      <c r="M12" s="444" t="s">
        <v>310</v>
      </c>
      <c r="N12" s="444" t="s">
        <v>486</v>
      </c>
      <c r="P12" s="444"/>
      <c r="Q12" s="444" t="s">
        <v>78</v>
      </c>
      <c r="R12" s="444" t="s">
        <v>309</v>
      </c>
      <c r="S12" s="466" t="s">
        <v>82</v>
      </c>
      <c r="T12" s="444" t="s">
        <v>310</v>
      </c>
      <c r="U12" s="444" t="s">
        <v>486</v>
      </c>
    </row>
    <row r="13" spans="2:21" x14ac:dyDescent="0.2">
      <c r="B13" s="347" t="s">
        <v>119</v>
      </c>
      <c r="C13" s="348">
        <v>0.52315</v>
      </c>
      <c r="D13" s="348">
        <v>6.7045200000000005</v>
      </c>
      <c r="E13" s="467">
        <v>10.1437742925643</v>
      </c>
      <c r="F13" s="470">
        <f t="shared" ref="F13:F19" si="0">D13*E13/100</f>
        <v>0.68009137619983207</v>
      </c>
      <c r="G13" s="471">
        <f t="shared" ref="G13:G19" si="1">C13+D13</f>
        <v>7.2276700000000007</v>
      </c>
      <c r="I13" s="347" t="s">
        <v>119</v>
      </c>
      <c r="J13" s="348">
        <v>0</v>
      </c>
      <c r="K13" s="348">
        <v>7.5186999999999999</v>
      </c>
      <c r="L13" s="467">
        <v>50.169224018080648</v>
      </c>
      <c r="M13" s="470">
        <f t="shared" ref="M13:M19" si="2">K13*L13/100</f>
        <v>3.7720734462474299</v>
      </c>
      <c r="N13" s="471">
        <f t="shared" ref="N13:N19" si="3">J13+K13</f>
        <v>7.5186999999999999</v>
      </c>
      <c r="P13" s="347" t="s">
        <v>119</v>
      </c>
      <c r="Q13" s="348">
        <v>46.963000000000001</v>
      </c>
      <c r="R13" s="348">
        <v>178.214</v>
      </c>
      <c r="S13" s="467">
        <v>41.897002922678148</v>
      </c>
      <c r="T13" s="470">
        <f t="shared" ref="T13:T19" si="4">R13*S13/100</f>
        <v>74.666324788621637</v>
      </c>
      <c r="U13" s="471">
        <f t="shared" ref="U13:U19" si="5">Q13+R13</f>
        <v>225.17699999999999</v>
      </c>
    </row>
    <row r="14" spans="2:21" x14ac:dyDescent="0.2">
      <c r="B14" s="349" t="s">
        <v>120</v>
      </c>
      <c r="C14" s="346">
        <v>0.21994999999999998</v>
      </c>
      <c r="D14" s="346">
        <v>9.988050000000003</v>
      </c>
      <c r="E14" s="468">
        <v>7.6293123196940593</v>
      </c>
      <c r="F14" s="472">
        <f t="shared" si="0"/>
        <v>0.76201952914720261</v>
      </c>
      <c r="G14" s="473">
        <f t="shared" si="1"/>
        <v>10.208000000000004</v>
      </c>
      <c r="I14" s="349" t="s">
        <v>120</v>
      </c>
      <c r="J14" s="346">
        <v>3.6739999999999999</v>
      </c>
      <c r="K14" s="346">
        <v>351.70854000000003</v>
      </c>
      <c r="L14" s="468">
        <v>12.545282003905941</v>
      </c>
      <c r="M14" s="472">
        <f t="shared" si="2"/>
        <v>44.122828174820334</v>
      </c>
      <c r="N14" s="473">
        <f t="shared" si="3"/>
        <v>355.38254000000001</v>
      </c>
      <c r="P14" s="349" t="s">
        <v>120</v>
      </c>
      <c r="Q14" s="346">
        <v>743.899</v>
      </c>
      <c r="R14" s="346">
        <v>23721.716</v>
      </c>
      <c r="S14" s="468">
        <v>8.3229264068652586</v>
      </c>
      <c r="T14" s="472">
        <f t="shared" si="4"/>
        <v>1974.3409651255811</v>
      </c>
      <c r="U14" s="473">
        <f t="shared" si="5"/>
        <v>24465.615000000002</v>
      </c>
    </row>
    <row r="15" spans="2:21" x14ac:dyDescent="0.2">
      <c r="B15" s="350" t="s">
        <v>121</v>
      </c>
      <c r="C15" s="346">
        <v>0.21438000000000001</v>
      </c>
      <c r="D15" s="346">
        <v>22.206239999999998</v>
      </c>
      <c r="E15" s="468">
        <v>5.9510417782530016</v>
      </c>
      <c r="F15" s="472">
        <f t="shared" si="0"/>
        <v>1.3215026197791291</v>
      </c>
      <c r="G15" s="473">
        <f t="shared" si="1"/>
        <v>22.420619999999996</v>
      </c>
      <c r="I15" s="350" t="s">
        <v>121</v>
      </c>
      <c r="J15" s="346">
        <v>47.097999999999999</v>
      </c>
      <c r="K15" s="346">
        <v>2577.1997099999999</v>
      </c>
      <c r="L15" s="468">
        <v>8.2467837211086348</v>
      </c>
      <c r="M15" s="472">
        <f t="shared" si="2"/>
        <v>212.53608614473896</v>
      </c>
      <c r="N15" s="473">
        <f t="shared" si="3"/>
        <v>2624.2977099999998</v>
      </c>
      <c r="P15" s="350" t="s">
        <v>121</v>
      </c>
      <c r="Q15" s="346">
        <v>4245.4740000000002</v>
      </c>
      <c r="R15" s="346">
        <v>28044.219000000001</v>
      </c>
      <c r="S15" s="468">
        <v>6.2263216088647519</v>
      </c>
      <c r="T15" s="472">
        <f t="shared" si="4"/>
        <v>1746.1232676343543</v>
      </c>
      <c r="U15" s="473">
        <f t="shared" si="5"/>
        <v>32289.692999999999</v>
      </c>
    </row>
    <row r="16" spans="2:21" x14ac:dyDescent="0.2">
      <c r="B16" s="350" t="s">
        <v>122</v>
      </c>
      <c r="C16" s="346">
        <v>0.87028000000000005</v>
      </c>
      <c r="D16" s="346">
        <v>20.571140000000003</v>
      </c>
      <c r="E16" s="468">
        <v>7.1144679541024196</v>
      </c>
      <c r="F16" s="472">
        <f t="shared" si="0"/>
        <v>1.4635271630935447</v>
      </c>
      <c r="G16" s="473">
        <f t="shared" si="1"/>
        <v>21.441420000000004</v>
      </c>
      <c r="I16" s="350" t="s">
        <v>122</v>
      </c>
      <c r="J16" s="346">
        <v>278.62299999999999</v>
      </c>
      <c r="K16" s="346">
        <v>4648.3827000000001</v>
      </c>
      <c r="L16" s="468">
        <v>8.5796864829987314</v>
      </c>
      <c r="M16" s="472">
        <f t="shared" si="2"/>
        <v>398.81666218995144</v>
      </c>
      <c r="N16" s="473">
        <f t="shared" si="3"/>
        <v>4927.0056999999997</v>
      </c>
      <c r="P16" s="350" t="s">
        <v>122</v>
      </c>
      <c r="Q16" s="346">
        <v>2196.0239999999999</v>
      </c>
      <c r="R16" s="346">
        <v>12772.065000000001</v>
      </c>
      <c r="S16" s="468">
        <v>8.6498760271934749</v>
      </c>
      <c r="T16" s="472">
        <f t="shared" si="4"/>
        <v>1104.7677886125684</v>
      </c>
      <c r="U16" s="473">
        <f t="shared" si="5"/>
        <v>14968.089</v>
      </c>
    </row>
    <row r="17" spans="2:21" x14ac:dyDescent="0.2">
      <c r="B17" s="350" t="s">
        <v>123</v>
      </c>
      <c r="C17" s="346">
        <v>0.96494000000000002</v>
      </c>
      <c r="D17" s="346">
        <v>28.67586</v>
      </c>
      <c r="E17" s="468">
        <v>6.7400162568784632</v>
      </c>
      <c r="F17" s="472">
        <f t="shared" si="0"/>
        <v>1.9327576257997086</v>
      </c>
      <c r="G17" s="473">
        <f t="shared" si="1"/>
        <v>29.640799999999999</v>
      </c>
      <c r="I17" s="350" t="s">
        <v>123</v>
      </c>
      <c r="J17" s="346">
        <v>599.52</v>
      </c>
      <c r="K17" s="346">
        <v>8989.1778400000003</v>
      </c>
      <c r="L17" s="468">
        <v>7.3371138662490951</v>
      </c>
      <c r="M17" s="472">
        <f t="shared" si="2"/>
        <v>659.54621376043099</v>
      </c>
      <c r="N17" s="473">
        <f t="shared" si="3"/>
        <v>9588.6978400000007</v>
      </c>
      <c r="P17" s="350" t="s">
        <v>123</v>
      </c>
      <c r="Q17" s="346">
        <v>2817.2869999999998</v>
      </c>
      <c r="R17" s="346">
        <v>9973.741</v>
      </c>
      <c r="S17" s="468">
        <v>8.1021500172427618</v>
      </c>
      <c r="T17" s="472">
        <f t="shared" si="4"/>
        <v>808.08745815124848</v>
      </c>
      <c r="U17" s="473">
        <f t="shared" si="5"/>
        <v>12791.028</v>
      </c>
    </row>
    <row r="18" spans="2:21" x14ac:dyDescent="0.2">
      <c r="B18" s="350" t="s">
        <v>124</v>
      </c>
      <c r="C18" s="346">
        <v>0.37048000000000003</v>
      </c>
      <c r="D18" s="346">
        <v>36.610960000000006</v>
      </c>
      <c r="E18" s="468">
        <v>5.8587911931204113</v>
      </c>
      <c r="F18" s="472">
        <f t="shared" si="0"/>
        <v>2.144959700196837</v>
      </c>
      <c r="G18" s="473">
        <f t="shared" si="1"/>
        <v>36.981440000000006</v>
      </c>
      <c r="I18" s="350" t="s">
        <v>124</v>
      </c>
      <c r="J18" s="346">
        <v>370.36700000000002</v>
      </c>
      <c r="K18" s="346">
        <v>15855.07352</v>
      </c>
      <c r="L18" s="468">
        <v>7.030832556113416</v>
      </c>
      <c r="M18" s="472">
        <f t="shared" si="2"/>
        <v>1114.7436708398773</v>
      </c>
      <c r="N18" s="473">
        <f t="shared" si="3"/>
        <v>16225.44052</v>
      </c>
      <c r="P18" s="350" t="s">
        <v>124</v>
      </c>
      <c r="Q18" s="346">
        <v>1244.578</v>
      </c>
      <c r="R18" s="346">
        <v>10599.692999999999</v>
      </c>
      <c r="S18" s="468">
        <v>7.1309223972686047</v>
      </c>
      <c r="T18" s="472">
        <f t="shared" si="4"/>
        <v>755.85588217871248</v>
      </c>
      <c r="U18" s="473">
        <f t="shared" si="5"/>
        <v>11844.270999999999</v>
      </c>
    </row>
    <row r="19" spans="2:21" ht="13.5" thickBot="1" x14ac:dyDescent="0.25">
      <c r="B19" s="351" t="s">
        <v>125</v>
      </c>
      <c r="C19" s="352">
        <v>0.10539000000000001</v>
      </c>
      <c r="D19" s="352">
        <v>25.957989999999999</v>
      </c>
      <c r="E19" s="469">
        <v>6.8689389700406984</v>
      </c>
      <c r="F19" s="474">
        <f t="shared" si="0"/>
        <v>1.7830384909492674</v>
      </c>
      <c r="G19" s="475">
        <f t="shared" si="1"/>
        <v>26.063379999999999</v>
      </c>
      <c r="I19" s="351" t="s">
        <v>125</v>
      </c>
      <c r="J19" s="352">
        <v>2046.0239999999999</v>
      </c>
      <c r="K19" s="352">
        <v>14517.66836</v>
      </c>
      <c r="L19" s="469">
        <v>8.1544112504187005</v>
      </c>
      <c r="M19" s="474">
        <f t="shared" si="2"/>
        <v>1183.8303820463161</v>
      </c>
      <c r="N19" s="475">
        <f t="shared" si="3"/>
        <v>16563.692360000001</v>
      </c>
      <c r="P19" s="351" t="s">
        <v>125</v>
      </c>
      <c r="Q19" s="352">
        <v>5586.9950000000008</v>
      </c>
      <c r="R19" s="352">
        <v>6155.982</v>
      </c>
      <c r="S19" s="469">
        <v>6.8152813965837193</v>
      </c>
      <c r="T19" s="474">
        <f t="shared" si="4"/>
        <v>419.54749602304241</v>
      </c>
      <c r="U19" s="475">
        <f t="shared" si="5"/>
        <v>11742.977000000001</v>
      </c>
    </row>
    <row r="22" spans="2:21" ht="38.25" customHeight="1" x14ac:dyDescent="0.2">
      <c r="B22" s="1022" t="s">
        <v>677</v>
      </c>
      <c r="C22" s="1023"/>
      <c r="D22" s="1023"/>
      <c r="E22" s="1023"/>
      <c r="F22" s="1023"/>
      <c r="G22" s="1023"/>
      <c r="I22" s="1022" t="s">
        <v>678</v>
      </c>
      <c r="J22" s="1023"/>
      <c r="K22" s="1023"/>
      <c r="L22" s="1023"/>
      <c r="M22" s="1023"/>
      <c r="N22" s="1023"/>
      <c r="P22" s="1022" t="s">
        <v>679</v>
      </c>
      <c r="Q22" s="1023"/>
      <c r="R22" s="1023"/>
      <c r="S22" s="1023"/>
      <c r="T22" s="1023"/>
      <c r="U22" s="1023"/>
    </row>
    <row r="23" spans="2:21" ht="13.5" thickBot="1" x14ac:dyDescent="0.25">
      <c r="B23" s="444"/>
      <c r="C23" s="444" t="s">
        <v>78</v>
      </c>
      <c r="D23" s="444" t="s">
        <v>309</v>
      </c>
      <c r="E23" s="466" t="s">
        <v>82</v>
      </c>
      <c r="F23" s="444" t="s">
        <v>310</v>
      </c>
      <c r="G23" s="444" t="s">
        <v>486</v>
      </c>
      <c r="I23" s="444"/>
      <c r="J23" s="444" t="s">
        <v>78</v>
      </c>
      <c r="K23" s="444" t="s">
        <v>309</v>
      </c>
      <c r="L23" s="466" t="s">
        <v>82</v>
      </c>
      <c r="M23" s="444" t="s">
        <v>310</v>
      </c>
      <c r="N23" s="444" t="s">
        <v>486</v>
      </c>
      <c r="P23" s="444"/>
      <c r="Q23" s="444" t="s">
        <v>78</v>
      </c>
      <c r="R23" s="444" t="s">
        <v>309</v>
      </c>
      <c r="S23" s="466" t="s">
        <v>82</v>
      </c>
      <c r="T23" s="444" t="s">
        <v>310</v>
      </c>
      <c r="U23" s="444" t="s">
        <v>486</v>
      </c>
    </row>
    <row r="24" spans="2:21" x14ac:dyDescent="0.2">
      <c r="B24" s="347" t="s">
        <v>127</v>
      </c>
      <c r="C24" s="348">
        <v>1.08599</v>
      </c>
      <c r="D24" s="348">
        <v>12.032980000000002</v>
      </c>
      <c r="E24" s="467">
        <v>6.6570336786105928</v>
      </c>
      <c r="F24" s="470">
        <f t="shared" ref="F24:F32" si="6">D24*E24/100</f>
        <v>0.80103953114047699</v>
      </c>
      <c r="G24" s="471">
        <f t="shared" ref="G24:G32" si="7">C24+D24</f>
        <v>13.118970000000003</v>
      </c>
      <c r="I24" s="347" t="s">
        <v>127</v>
      </c>
      <c r="J24" s="348">
        <v>6.4219999999999997</v>
      </c>
      <c r="K24" s="348">
        <v>98.411000000000001</v>
      </c>
      <c r="L24" s="467">
        <v>11.93919697017666</v>
      </c>
      <c r="M24" s="470">
        <f t="shared" ref="M24:M32" si="8">K24*L24/100</f>
        <v>11.749483130320552</v>
      </c>
      <c r="N24" s="471">
        <f t="shared" ref="N24:N32" si="9">J24+K24</f>
        <v>104.833</v>
      </c>
      <c r="P24" s="347" t="s">
        <v>127</v>
      </c>
      <c r="Q24" s="348">
        <v>1248.7090000000001</v>
      </c>
      <c r="R24" s="348">
        <v>13362.86</v>
      </c>
      <c r="S24" s="467">
        <v>11.172646611169833</v>
      </c>
      <c r="T24" s="470">
        <f t="shared" ref="T24:T32" si="10">R24*S24/100</f>
        <v>1492.9851249453693</v>
      </c>
      <c r="U24" s="471">
        <f t="shared" ref="U24:U32" si="11">Q24+R24</f>
        <v>14611.569000000001</v>
      </c>
    </row>
    <row r="25" spans="2:21" x14ac:dyDescent="0.2">
      <c r="B25" s="349" t="s">
        <v>128</v>
      </c>
      <c r="C25" s="346">
        <v>1.1146399999999999</v>
      </c>
      <c r="D25" s="346">
        <v>5.8703700000000021</v>
      </c>
      <c r="E25" s="468">
        <v>9.1810950159516143</v>
      </c>
      <c r="F25" s="472">
        <f t="shared" si="6"/>
        <v>0.53896424748791893</v>
      </c>
      <c r="G25" s="473">
        <f t="shared" si="7"/>
        <v>6.9850100000000017</v>
      </c>
      <c r="I25" s="349" t="s">
        <v>128</v>
      </c>
      <c r="J25" s="346">
        <v>59.917000000000002</v>
      </c>
      <c r="K25" s="346">
        <v>245.92099999999999</v>
      </c>
      <c r="L25" s="468">
        <v>11.3783420323679</v>
      </c>
      <c r="M25" s="472">
        <f t="shared" si="8"/>
        <v>27.981732509419462</v>
      </c>
      <c r="N25" s="473">
        <f t="shared" si="9"/>
        <v>305.83799999999997</v>
      </c>
      <c r="P25" s="349" t="s">
        <v>128</v>
      </c>
      <c r="Q25" s="346">
        <v>4697.5730000000003</v>
      </c>
      <c r="R25" s="346">
        <v>15763.936</v>
      </c>
      <c r="S25" s="468">
        <v>10.582555893648788</v>
      </c>
      <c r="T25" s="472">
        <f t="shared" si="10"/>
        <v>1668.2273382390229</v>
      </c>
      <c r="U25" s="473">
        <f t="shared" si="11"/>
        <v>20461.508999999998</v>
      </c>
    </row>
    <row r="26" spans="2:21" x14ac:dyDescent="0.2">
      <c r="B26" s="349" t="s">
        <v>129</v>
      </c>
      <c r="C26" s="346">
        <v>0.79662000000000011</v>
      </c>
      <c r="D26" s="346">
        <v>9.5478699999999996</v>
      </c>
      <c r="E26" s="468">
        <v>8.9492495253971036</v>
      </c>
      <c r="F26" s="472">
        <f t="shared" si="6"/>
        <v>0.85446271066053248</v>
      </c>
      <c r="G26" s="473">
        <f t="shared" si="7"/>
        <v>10.34449</v>
      </c>
      <c r="I26" s="349" t="s">
        <v>129</v>
      </c>
      <c r="J26" s="346">
        <v>123.959</v>
      </c>
      <c r="K26" s="346">
        <v>879.505</v>
      </c>
      <c r="L26" s="468">
        <v>9.2869574092703946</v>
      </c>
      <c r="M26" s="472">
        <f t="shared" si="8"/>
        <v>81.679254762403573</v>
      </c>
      <c r="N26" s="473">
        <f t="shared" si="9"/>
        <v>1003.4639999999999</v>
      </c>
      <c r="P26" s="349" t="s">
        <v>129</v>
      </c>
      <c r="Q26" s="346">
        <v>1937.2550000000001</v>
      </c>
      <c r="R26" s="346">
        <v>14528.135</v>
      </c>
      <c r="S26" s="468">
        <v>9.416406278439414</v>
      </c>
      <c r="T26" s="472">
        <f t="shared" si="10"/>
        <v>1368.0282162801541</v>
      </c>
      <c r="U26" s="473">
        <f t="shared" si="11"/>
        <v>16465.39</v>
      </c>
    </row>
    <row r="27" spans="2:21" x14ac:dyDescent="0.2">
      <c r="B27" s="349" t="s">
        <v>130</v>
      </c>
      <c r="C27" s="346">
        <v>2.0587999999999997</v>
      </c>
      <c r="D27" s="346">
        <v>11.631609999999998</v>
      </c>
      <c r="E27" s="468">
        <v>9.3038702265041078</v>
      </c>
      <c r="F27" s="472">
        <f t="shared" si="6"/>
        <v>1.0821898996530743</v>
      </c>
      <c r="G27" s="473">
        <f t="shared" si="7"/>
        <v>13.690409999999998</v>
      </c>
      <c r="I27" s="349" t="s">
        <v>130</v>
      </c>
      <c r="J27" s="346">
        <v>411.64</v>
      </c>
      <c r="K27" s="346">
        <v>1468.079</v>
      </c>
      <c r="L27" s="468">
        <v>9.8324237932009382</v>
      </c>
      <c r="M27" s="472">
        <f t="shared" si="8"/>
        <v>144.3477488989864</v>
      </c>
      <c r="N27" s="473">
        <f t="shared" si="9"/>
        <v>1879.7190000000001</v>
      </c>
      <c r="P27" s="349" t="s">
        <v>130</v>
      </c>
      <c r="Q27" s="346">
        <v>2888.6889999999999</v>
      </c>
      <c r="R27" s="346">
        <v>8970.9940000000006</v>
      </c>
      <c r="S27" s="468">
        <v>10.593353943681691</v>
      </c>
      <c r="T27" s="472">
        <f t="shared" si="10"/>
        <v>950.32914668644798</v>
      </c>
      <c r="U27" s="473">
        <f t="shared" si="11"/>
        <v>11859.683000000001</v>
      </c>
    </row>
    <row r="28" spans="2:21" x14ac:dyDescent="0.2">
      <c r="B28" s="349" t="s">
        <v>131</v>
      </c>
      <c r="C28" s="346">
        <v>6.5745900000000015</v>
      </c>
      <c r="D28" s="346">
        <v>24.028780000000001</v>
      </c>
      <c r="E28" s="468">
        <v>6.490718778967083</v>
      </c>
      <c r="F28" s="472">
        <f t="shared" si="6"/>
        <v>1.5596405358166867</v>
      </c>
      <c r="G28" s="473">
        <f t="shared" si="7"/>
        <v>30.603370000000002</v>
      </c>
      <c r="I28" s="349" t="s">
        <v>131</v>
      </c>
      <c r="J28" s="346">
        <v>1946.153</v>
      </c>
      <c r="K28" s="346">
        <v>5913.6769999999997</v>
      </c>
      <c r="L28" s="468">
        <v>6.884299683298595</v>
      </c>
      <c r="M28" s="472">
        <f t="shared" si="8"/>
        <v>407.11524698230181</v>
      </c>
      <c r="N28" s="473">
        <f t="shared" si="9"/>
        <v>7859.83</v>
      </c>
      <c r="P28" s="349" t="s">
        <v>131</v>
      </c>
      <c r="Q28" s="346">
        <v>5379.9080000000004</v>
      </c>
      <c r="R28" s="346">
        <v>13944.032999999999</v>
      </c>
      <c r="S28" s="468">
        <v>7.8343038565651151</v>
      </c>
      <c r="T28" s="472">
        <f t="shared" si="10"/>
        <v>1092.4179150797122</v>
      </c>
      <c r="U28" s="473">
        <f t="shared" si="11"/>
        <v>19323.940999999999</v>
      </c>
    </row>
    <row r="29" spans="2:21" x14ac:dyDescent="0.2">
      <c r="B29" s="349" t="s">
        <v>132</v>
      </c>
      <c r="C29" s="346">
        <v>1.8216399999999999</v>
      </c>
      <c r="D29" s="346">
        <v>19.319609999999997</v>
      </c>
      <c r="E29" s="468">
        <v>7.7312684582199056</v>
      </c>
      <c r="F29" s="472">
        <f t="shared" si="6"/>
        <v>1.4936509141810985</v>
      </c>
      <c r="G29" s="473">
        <f t="shared" si="7"/>
        <v>21.141249999999996</v>
      </c>
      <c r="I29" s="349" t="s">
        <v>132</v>
      </c>
      <c r="J29" s="346">
        <v>403.733</v>
      </c>
      <c r="K29" s="346">
        <v>5955.2979999999998</v>
      </c>
      <c r="L29" s="468">
        <v>8.0299116521777485</v>
      </c>
      <c r="M29" s="472">
        <f t="shared" si="8"/>
        <v>478.20516802390841</v>
      </c>
      <c r="N29" s="473">
        <f t="shared" si="9"/>
        <v>6359.0309999999999</v>
      </c>
      <c r="P29" s="349" t="s">
        <v>132</v>
      </c>
      <c r="Q29" s="346">
        <v>541.12099999999998</v>
      </c>
      <c r="R29" s="346">
        <v>6532.4579999999996</v>
      </c>
      <c r="S29" s="468">
        <v>9.8764344723380493</v>
      </c>
      <c r="T29" s="472">
        <f t="shared" si="10"/>
        <v>645.17393380300462</v>
      </c>
      <c r="U29" s="473">
        <f t="shared" si="11"/>
        <v>7073.5789999999997</v>
      </c>
    </row>
    <row r="30" spans="2:21" x14ac:dyDescent="0.2">
      <c r="B30" s="349" t="s">
        <v>133</v>
      </c>
      <c r="C30" s="346">
        <v>1.8857900000000003</v>
      </c>
      <c r="D30" s="346">
        <v>38.712870000000002</v>
      </c>
      <c r="E30" s="468">
        <v>5.5553663497791899</v>
      </c>
      <c r="F30" s="472">
        <f t="shared" si="6"/>
        <v>2.1506417530137631</v>
      </c>
      <c r="G30" s="473">
        <f t="shared" si="7"/>
        <v>40.598660000000002</v>
      </c>
      <c r="I30" s="349" t="s">
        <v>133</v>
      </c>
      <c r="J30" s="346">
        <v>321.245</v>
      </c>
      <c r="K30" s="346">
        <v>15841.865</v>
      </c>
      <c r="L30" s="468">
        <v>5.9675569064037957</v>
      </c>
      <c r="M30" s="472">
        <f t="shared" si="8"/>
        <v>945.37230891066565</v>
      </c>
      <c r="N30" s="473">
        <f t="shared" si="9"/>
        <v>16163.11</v>
      </c>
      <c r="P30" s="349" t="s">
        <v>133</v>
      </c>
      <c r="Q30" s="346">
        <v>207.11</v>
      </c>
      <c r="R30" s="346">
        <v>8023.6409999999996</v>
      </c>
      <c r="S30" s="468">
        <v>6.245231578736635</v>
      </c>
      <c r="T30" s="472">
        <f t="shared" si="10"/>
        <v>501.09496149645986</v>
      </c>
      <c r="U30" s="473">
        <f t="shared" si="11"/>
        <v>8230.7510000000002</v>
      </c>
    </row>
    <row r="31" spans="2:21" x14ac:dyDescent="0.2">
      <c r="B31" s="349" t="s">
        <v>134</v>
      </c>
      <c r="C31" s="346">
        <v>0.31593000000000004</v>
      </c>
      <c r="D31" s="346">
        <v>18.124949999999998</v>
      </c>
      <c r="E31" s="468">
        <v>8.0316785641595345</v>
      </c>
      <c r="F31" s="472">
        <f t="shared" si="6"/>
        <v>1.4557377239146334</v>
      </c>
      <c r="G31" s="473">
        <f t="shared" si="7"/>
        <v>18.44088</v>
      </c>
      <c r="I31" s="349" t="s">
        <v>134</v>
      </c>
      <c r="J31" s="346">
        <v>66</v>
      </c>
      <c r="K31" s="346">
        <v>11283.728999999999</v>
      </c>
      <c r="L31" s="468">
        <v>7.8733998409724588</v>
      </c>
      <c r="M31" s="472">
        <f t="shared" si="8"/>
        <v>888.41310114176315</v>
      </c>
      <c r="N31" s="473">
        <f t="shared" si="9"/>
        <v>11349.728999999999</v>
      </c>
      <c r="P31" s="349" t="s">
        <v>134</v>
      </c>
      <c r="Q31" s="346">
        <v>18.62</v>
      </c>
      <c r="R31" s="346">
        <v>2535.4760000000001</v>
      </c>
      <c r="S31" s="468">
        <v>9.8230476174374708</v>
      </c>
      <c r="T31" s="472">
        <f t="shared" si="10"/>
        <v>249.0610148086989</v>
      </c>
      <c r="U31" s="473">
        <f t="shared" si="11"/>
        <v>2554.096</v>
      </c>
    </row>
    <row r="32" spans="2:21" ht="13.5" thickBot="1" x14ac:dyDescent="0.25">
      <c r="B32" s="351" t="s">
        <v>135</v>
      </c>
      <c r="C32" s="352">
        <v>3.7980000000000007E-2</v>
      </c>
      <c r="D32" s="352">
        <v>11.445690000000001</v>
      </c>
      <c r="E32" s="469">
        <v>12.037802006970853</v>
      </c>
      <c r="F32" s="474">
        <f t="shared" si="6"/>
        <v>1.3778095005316624</v>
      </c>
      <c r="G32" s="475">
        <f t="shared" si="7"/>
        <v>11.48367</v>
      </c>
      <c r="I32" s="351" t="s">
        <v>135</v>
      </c>
      <c r="J32" s="352">
        <v>6.2380000000000004</v>
      </c>
      <c r="K32" s="352">
        <v>9198.6990000000005</v>
      </c>
      <c r="L32" s="469">
        <v>12.361940931408927</v>
      </c>
      <c r="M32" s="474">
        <f t="shared" si="8"/>
        <v>1137.1377368381038</v>
      </c>
      <c r="N32" s="475">
        <f t="shared" si="9"/>
        <v>9204.9369999999999</v>
      </c>
      <c r="P32" s="351" t="s">
        <v>135</v>
      </c>
      <c r="Q32" s="352">
        <v>1.0740000000000001</v>
      </c>
      <c r="R32" s="352">
        <v>915.86300000000006</v>
      </c>
      <c r="S32" s="469">
        <v>16.383876749514595</v>
      </c>
      <c r="T32" s="474">
        <f t="shared" si="10"/>
        <v>150.05386511440688</v>
      </c>
      <c r="U32" s="475">
        <f t="shared" si="11"/>
        <v>916.93700000000001</v>
      </c>
    </row>
    <row r="35" spans="2:21" ht="29.25" customHeight="1" x14ac:dyDescent="0.2">
      <c r="B35" s="1022" t="s">
        <v>382</v>
      </c>
      <c r="C35" s="1023"/>
      <c r="D35" s="1023"/>
      <c r="E35" s="1023"/>
      <c r="F35" s="1023"/>
      <c r="G35" s="1023"/>
      <c r="I35" s="1022" t="s">
        <v>383</v>
      </c>
      <c r="J35" s="1023"/>
      <c r="K35" s="1023"/>
      <c r="L35" s="1023"/>
      <c r="M35" s="1023"/>
      <c r="N35" s="1023"/>
      <c r="P35" s="1022" t="s">
        <v>384</v>
      </c>
      <c r="Q35" s="1023"/>
      <c r="R35" s="1023"/>
      <c r="S35" s="1023"/>
      <c r="T35" s="1023"/>
      <c r="U35" s="1023"/>
    </row>
    <row r="36" spans="2:21" ht="39" thickBot="1" x14ac:dyDescent="0.25">
      <c r="B36" s="444"/>
      <c r="C36" s="444"/>
      <c r="D36" s="444"/>
      <c r="E36" s="444"/>
      <c r="F36" s="444"/>
      <c r="G36" s="345" t="s">
        <v>477</v>
      </c>
      <c r="I36" s="444"/>
      <c r="J36" s="444"/>
      <c r="K36" s="444"/>
      <c r="L36" s="444"/>
      <c r="M36" s="444"/>
      <c r="N36" s="345" t="s">
        <v>488</v>
      </c>
      <c r="P36" s="444"/>
      <c r="Q36" s="444"/>
      <c r="R36" s="444"/>
      <c r="S36" s="444"/>
      <c r="T36" s="444"/>
      <c r="U36" s="345" t="s">
        <v>478</v>
      </c>
    </row>
    <row r="37" spans="2:21" x14ac:dyDescent="0.2">
      <c r="B37" s="347" t="s">
        <v>94</v>
      </c>
      <c r="C37" s="348"/>
      <c r="D37" s="348"/>
      <c r="E37" s="348"/>
      <c r="F37" s="348"/>
      <c r="G37" s="471">
        <f>G8</f>
        <v>166.41477</v>
      </c>
      <c r="I37" s="347" t="s">
        <v>94</v>
      </c>
      <c r="J37" s="348"/>
      <c r="K37" s="348"/>
      <c r="L37" s="348"/>
      <c r="M37" s="348"/>
      <c r="N37" s="471">
        <f>N8</f>
        <v>54230.481999999996</v>
      </c>
      <c r="P37" s="347" t="s">
        <v>94</v>
      </c>
      <c r="Q37" s="348"/>
      <c r="R37" s="348"/>
      <c r="S37" s="348"/>
      <c r="T37" s="348"/>
      <c r="U37" s="471">
        <f>U8</f>
        <v>108365.696</v>
      </c>
    </row>
    <row r="38" spans="2:21" ht="38.25" x14ac:dyDescent="0.2">
      <c r="B38" s="353" t="s">
        <v>381</v>
      </c>
      <c r="C38" s="346"/>
      <c r="D38" s="346"/>
      <c r="E38" s="346"/>
      <c r="F38" s="346"/>
      <c r="G38" s="473">
        <f>G7-G8</f>
        <v>726.11594000000002</v>
      </c>
      <c r="I38" s="353" t="s">
        <v>381</v>
      </c>
      <c r="J38" s="346"/>
      <c r="K38" s="346"/>
      <c r="L38" s="346"/>
      <c r="M38" s="346"/>
      <c r="N38" s="473">
        <f>N7-N8</f>
        <v>123711.61500000002</v>
      </c>
      <c r="P38" s="353" t="s">
        <v>381</v>
      </c>
      <c r="Q38" s="346"/>
      <c r="R38" s="346"/>
      <c r="S38" s="346"/>
      <c r="T38" s="346"/>
      <c r="U38" s="473">
        <f>U7-U8</f>
        <v>933113.01</v>
      </c>
    </row>
    <row r="39" spans="2:21" ht="13.5" thickBot="1" x14ac:dyDescent="0.25">
      <c r="B39" s="351" t="s">
        <v>83</v>
      </c>
      <c r="C39" s="352"/>
      <c r="D39" s="352"/>
      <c r="E39" s="352"/>
      <c r="F39" s="352"/>
      <c r="G39" s="475">
        <f>G6</f>
        <v>305.05426999999997</v>
      </c>
      <c r="I39" s="351" t="s">
        <v>83</v>
      </c>
      <c r="J39" s="352"/>
      <c r="K39" s="352"/>
      <c r="L39" s="352"/>
      <c r="M39" s="352"/>
      <c r="N39" s="475">
        <f>N6</f>
        <v>89995.516000000003</v>
      </c>
      <c r="P39" s="351" t="s">
        <v>83</v>
      </c>
      <c r="Q39" s="352"/>
      <c r="R39" s="352"/>
      <c r="S39" s="352"/>
      <c r="T39" s="352"/>
      <c r="U39" s="475">
        <f>U6</f>
        <v>305205.06699999998</v>
      </c>
    </row>
  </sheetData>
  <mergeCells count="12">
    <mergeCell ref="B22:G22"/>
    <mergeCell ref="I22:N22"/>
    <mergeCell ref="P22:U22"/>
    <mergeCell ref="B35:G35"/>
    <mergeCell ref="I35:N35"/>
    <mergeCell ref="P35:U35"/>
    <mergeCell ref="B3:G3"/>
    <mergeCell ref="I3:N3"/>
    <mergeCell ref="P3:U3"/>
    <mergeCell ref="B11:G11"/>
    <mergeCell ref="I11:N11"/>
    <mergeCell ref="P11:U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V95"/>
  <sheetViews>
    <sheetView zoomScale="80" zoomScaleNormal="80"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4" t="s">
        <v>737</v>
      </c>
      <c r="C3" s="1025"/>
      <c r="D3" s="1025"/>
      <c r="E3" s="1025"/>
      <c r="F3" s="1025"/>
      <c r="G3" s="1025"/>
      <c r="I3" s="1024" t="s">
        <v>736</v>
      </c>
      <c r="J3" s="1025"/>
      <c r="K3" s="1025"/>
      <c r="L3" s="1025"/>
      <c r="M3" s="1025"/>
      <c r="N3" s="1025"/>
      <c r="P3" s="1024" t="s">
        <v>735</v>
      </c>
      <c r="Q3" s="1025"/>
      <c r="R3" s="1025"/>
      <c r="S3" s="1025"/>
      <c r="T3" s="1025"/>
      <c r="U3" s="1025"/>
    </row>
    <row r="4" spans="2:21" ht="13.5" thickBot="1" x14ac:dyDescent="0.25">
      <c r="B4" s="614"/>
      <c r="C4" s="614" t="s">
        <v>78</v>
      </c>
      <c r="D4" s="614" t="s">
        <v>309</v>
      </c>
      <c r="E4" s="619" t="s">
        <v>82</v>
      </c>
      <c r="F4" s="614" t="s">
        <v>310</v>
      </c>
      <c r="G4" s="614" t="s">
        <v>486</v>
      </c>
      <c r="I4" s="614"/>
      <c r="J4" s="614" t="s">
        <v>78</v>
      </c>
      <c r="K4" s="614" t="s">
        <v>309</v>
      </c>
      <c r="L4" s="619" t="s">
        <v>82</v>
      </c>
      <c r="M4" s="614" t="s">
        <v>310</v>
      </c>
      <c r="N4" s="614" t="s">
        <v>486</v>
      </c>
      <c r="P4" s="614"/>
      <c r="Q4" s="614" t="s">
        <v>78</v>
      </c>
      <c r="R4" s="614" t="s">
        <v>309</v>
      </c>
      <c r="S4" s="619" t="s">
        <v>82</v>
      </c>
      <c r="T4" s="614" t="s">
        <v>310</v>
      </c>
      <c r="U4" s="614" t="s">
        <v>486</v>
      </c>
    </row>
    <row r="5" spans="2:21" x14ac:dyDescent="0.2">
      <c r="B5" s="612" t="s">
        <v>721</v>
      </c>
      <c r="C5" s="618">
        <v>181.17345999999995</v>
      </c>
      <c r="D5" s="618">
        <v>1016.37209</v>
      </c>
      <c r="E5" s="617">
        <v>0.64792943065038755</v>
      </c>
      <c r="F5" s="616">
        <f>D5*E5/100</f>
        <v>6.5853738960264447</v>
      </c>
      <c r="G5" s="615">
        <f>C5+D5</f>
        <v>1197.5455499999998</v>
      </c>
      <c r="I5" s="612" t="s">
        <v>721</v>
      </c>
      <c r="J5" s="618">
        <v>35136.934000000001</v>
      </c>
      <c r="K5" s="618">
        <v>232722.22099999999</v>
      </c>
      <c r="L5" s="617">
        <v>1.3249205983688215</v>
      </c>
      <c r="M5" s="616">
        <f>K5*L5/100</f>
        <v>3083.3846430104109</v>
      </c>
      <c r="N5" s="615">
        <f>J5+K5</f>
        <v>267859.15499999997</v>
      </c>
      <c r="P5" s="612" t="s">
        <v>721</v>
      </c>
      <c r="Q5" s="618">
        <v>207905.27900000001</v>
      </c>
      <c r="R5" s="618">
        <v>1139545.4410000001</v>
      </c>
      <c r="S5" s="617">
        <v>1.2114807274468335</v>
      </c>
      <c r="T5" s="616">
        <f>R5*S5/100</f>
        <v>13805.373398214029</v>
      </c>
      <c r="U5" s="615">
        <f>Q5+R5</f>
        <v>1347450.7200000002</v>
      </c>
    </row>
    <row r="6" spans="2:21" x14ac:dyDescent="0.2">
      <c r="B6" s="608" t="s">
        <v>286</v>
      </c>
      <c r="C6" s="346">
        <v>16.338729999999998</v>
      </c>
      <c r="D6" s="346">
        <v>59.816089999999996</v>
      </c>
      <c r="E6" s="468">
        <v>1.7</v>
      </c>
      <c r="F6" s="472">
        <f t="shared" ref="F6:F19" si="0">D6*E6/100</f>
        <v>1.0168735299999998</v>
      </c>
      <c r="G6" s="473">
        <f t="shared" ref="G6:G19" si="1">C6+D6</f>
        <v>76.154820000000001</v>
      </c>
      <c r="I6" s="608" t="s">
        <v>286</v>
      </c>
      <c r="J6" s="346">
        <v>3059.9879999999998</v>
      </c>
      <c r="K6" s="346">
        <v>13512.279</v>
      </c>
      <c r="L6" s="468">
        <v>4.5599999999999996</v>
      </c>
      <c r="M6" s="472">
        <f t="shared" ref="M6:M19" si="2">K6*L6/100</f>
        <v>616.15992240000003</v>
      </c>
      <c r="N6" s="473">
        <f t="shared" ref="N6:N19" si="3">J6+K6</f>
        <v>16572.267</v>
      </c>
      <c r="P6" s="608" t="s">
        <v>286</v>
      </c>
      <c r="Q6" s="346">
        <v>26134.491999999998</v>
      </c>
      <c r="R6" s="346">
        <v>62577.341999999997</v>
      </c>
      <c r="S6" s="468">
        <v>4.51</v>
      </c>
      <c r="T6" s="472">
        <f t="shared" ref="T6:T19" si="4">R6*S6/100</f>
        <v>2822.2381241999997</v>
      </c>
      <c r="U6" s="473">
        <f>Q6+R6</f>
        <v>88711.834000000003</v>
      </c>
    </row>
    <row r="7" spans="2:21" x14ac:dyDescent="0.2">
      <c r="B7" s="609" t="s">
        <v>307</v>
      </c>
      <c r="C7" s="346">
        <v>10.266860000000001</v>
      </c>
      <c r="D7" s="346">
        <v>96.409600000000012</v>
      </c>
      <c r="E7" s="468">
        <v>2</v>
      </c>
      <c r="F7" s="472">
        <f t="shared" si="0"/>
        <v>1.9281920000000001</v>
      </c>
      <c r="G7" s="473">
        <f t="shared" si="1"/>
        <v>106.67646000000002</v>
      </c>
      <c r="I7" s="609" t="s">
        <v>307</v>
      </c>
      <c r="J7" s="346">
        <v>2115.39</v>
      </c>
      <c r="K7" s="346">
        <v>23618.437999999998</v>
      </c>
      <c r="L7" s="468">
        <v>4.5599999999999996</v>
      </c>
      <c r="M7" s="472">
        <f t="shared" si="2"/>
        <v>1077.0007727999998</v>
      </c>
      <c r="N7" s="473">
        <f t="shared" si="3"/>
        <v>25733.827999999998</v>
      </c>
      <c r="P7" s="609" t="s">
        <v>307</v>
      </c>
      <c r="Q7" s="346">
        <v>10544.929</v>
      </c>
      <c r="R7" s="346">
        <v>113611.928</v>
      </c>
      <c r="S7" s="468">
        <v>3.79</v>
      </c>
      <c r="T7" s="472">
        <f t="shared" si="4"/>
        <v>4305.8920711999999</v>
      </c>
      <c r="U7" s="473">
        <f t="shared" ref="U7:U19" si="5">Q7+R7</f>
        <v>124156.857</v>
      </c>
    </row>
    <row r="8" spans="2:21" x14ac:dyDescent="0.2">
      <c r="B8" s="608" t="s">
        <v>287</v>
      </c>
      <c r="C8" s="346">
        <v>21.707750000000001</v>
      </c>
      <c r="D8" s="346">
        <v>102.52519000000001</v>
      </c>
      <c r="E8" s="468">
        <v>1.44</v>
      </c>
      <c r="F8" s="472">
        <f t="shared" si="0"/>
        <v>1.476362736</v>
      </c>
      <c r="G8" s="473">
        <f t="shared" si="1"/>
        <v>124.23294000000001</v>
      </c>
      <c r="I8" s="608" t="s">
        <v>287</v>
      </c>
      <c r="J8" s="346">
        <v>3921.0219999999999</v>
      </c>
      <c r="K8" s="346">
        <v>19729.57</v>
      </c>
      <c r="L8" s="468">
        <v>4.33</v>
      </c>
      <c r="M8" s="472">
        <f t="shared" si="2"/>
        <v>854.29038100000002</v>
      </c>
      <c r="N8" s="473">
        <f t="shared" si="3"/>
        <v>23650.592000000001</v>
      </c>
      <c r="P8" s="608" t="s">
        <v>287</v>
      </c>
      <c r="Q8" s="346">
        <v>23072.591</v>
      </c>
      <c r="R8" s="346">
        <v>105963.91800000001</v>
      </c>
      <c r="S8" s="468">
        <v>4.3099999999999996</v>
      </c>
      <c r="T8" s="472">
        <f t="shared" si="4"/>
        <v>4567.0448657999996</v>
      </c>
      <c r="U8" s="473">
        <f t="shared" si="5"/>
        <v>129036.50900000001</v>
      </c>
    </row>
    <row r="9" spans="2:21" x14ac:dyDescent="0.2">
      <c r="B9" s="609" t="s">
        <v>288</v>
      </c>
      <c r="C9" s="346">
        <v>6.7304899999999996</v>
      </c>
      <c r="D9" s="346">
        <v>44.435970000000005</v>
      </c>
      <c r="E9" s="468">
        <v>1.81</v>
      </c>
      <c r="F9" s="472">
        <f t="shared" si="0"/>
        <v>0.80429105700000003</v>
      </c>
      <c r="G9" s="473">
        <f t="shared" si="1"/>
        <v>51.166460000000001</v>
      </c>
      <c r="I9" s="609" t="s">
        <v>288</v>
      </c>
      <c r="J9" s="346">
        <v>1308.79</v>
      </c>
      <c r="K9" s="346">
        <v>8339.4599999999991</v>
      </c>
      <c r="L9" s="468">
        <v>7.13</v>
      </c>
      <c r="M9" s="472">
        <f t="shared" si="2"/>
        <v>594.60349799999995</v>
      </c>
      <c r="N9" s="473">
        <f t="shared" si="3"/>
        <v>9648.25</v>
      </c>
      <c r="P9" s="609" t="s">
        <v>288</v>
      </c>
      <c r="Q9" s="346">
        <v>5171.6210000000001</v>
      </c>
      <c r="R9" s="346">
        <v>45528.826000000001</v>
      </c>
      <c r="S9" s="468">
        <v>6.43</v>
      </c>
      <c r="T9" s="472">
        <f t="shared" si="4"/>
        <v>2927.5035118000001</v>
      </c>
      <c r="U9" s="473">
        <f t="shared" si="5"/>
        <v>50700.447</v>
      </c>
    </row>
    <row r="10" spans="2:21" x14ac:dyDescent="0.2">
      <c r="B10" s="608" t="s">
        <v>305</v>
      </c>
      <c r="C10" s="346">
        <v>1.2154100000000001</v>
      </c>
      <c r="D10" s="346">
        <v>25.682310000000001</v>
      </c>
      <c r="E10" s="468">
        <v>15.99</v>
      </c>
      <c r="F10" s="472">
        <f t="shared" si="0"/>
        <v>4.1066013689999998</v>
      </c>
      <c r="G10" s="473">
        <f t="shared" si="1"/>
        <v>26.89772</v>
      </c>
      <c r="I10" s="608" t="s">
        <v>305</v>
      </c>
      <c r="J10" s="346">
        <v>179.892</v>
      </c>
      <c r="K10" s="346">
        <v>4595.5990000000002</v>
      </c>
      <c r="L10" s="468">
        <v>12.35</v>
      </c>
      <c r="M10" s="472">
        <f t="shared" si="2"/>
        <v>567.55647650000003</v>
      </c>
      <c r="N10" s="473">
        <f t="shared" si="3"/>
        <v>4775.491</v>
      </c>
      <c r="P10" s="608" t="s">
        <v>305</v>
      </c>
      <c r="Q10" s="346">
        <v>1222.0129999999999</v>
      </c>
      <c r="R10" s="346">
        <v>22610.062999999998</v>
      </c>
      <c r="S10" s="468">
        <v>10.77</v>
      </c>
      <c r="T10" s="472">
        <f t="shared" si="4"/>
        <v>2435.1037850999996</v>
      </c>
      <c r="U10" s="473">
        <f t="shared" si="5"/>
        <v>23832.075999999997</v>
      </c>
    </row>
    <row r="11" spans="2:21" x14ac:dyDescent="0.2">
      <c r="B11" s="609" t="s">
        <v>289</v>
      </c>
      <c r="C11" s="346">
        <v>0.72744000000000009</v>
      </c>
      <c r="D11" s="346">
        <v>32.458410000000001</v>
      </c>
      <c r="E11" s="468">
        <v>1.9</v>
      </c>
      <c r="F11" s="472">
        <f t="shared" si="0"/>
        <v>0.61670978999999992</v>
      </c>
      <c r="G11" s="473">
        <f t="shared" si="1"/>
        <v>33.185850000000002</v>
      </c>
      <c r="I11" s="609" t="s">
        <v>289</v>
      </c>
      <c r="J11" s="346">
        <v>107.497</v>
      </c>
      <c r="K11" s="346">
        <v>6357.6980000000003</v>
      </c>
      <c r="L11" s="468">
        <v>12.52</v>
      </c>
      <c r="M11" s="472">
        <f t="shared" si="2"/>
        <v>795.98378960000002</v>
      </c>
      <c r="N11" s="473">
        <f t="shared" si="3"/>
        <v>6465.1950000000006</v>
      </c>
      <c r="P11" s="609" t="s">
        <v>289</v>
      </c>
      <c r="Q11" s="346">
        <v>615.24</v>
      </c>
      <c r="R11" s="346">
        <v>29559.473000000002</v>
      </c>
      <c r="S11" s="468">
        <v>6.72</v>
      </c>
      <c r="T11" s="472">
        <f t="shared" si="4"/>
        <v>1986.3965856000002</v>
      </c>
      <c r="U11" s="473">
        <f t="shared" si="5"/>
        <v>30174.713000000003</v>
      </c>
    </row>
    <row r="12" spans="2:21" x14ac:dyDescent="0.2">
      <c r="B12" s="608" t="s">
        <v>306</v>
      </c>
      <c r="C12" s="346">
        <v>5.3738100000000006</v>
      </c>
      <c r="D12" s="346">
        <v>91.230199999999996</v>
      </c>
      <c r="E12" s="468">
        <v>2.84</v>
      </c>
      <c r="F12" s="472">
        <f t="shared" si="0"/>
        <v>2.5909376799999997</v>
      </c>
      <c r="G12" s="473">
        <f t="shared" si="1"/>
        <v>96.604010000000002</v>
      </c>
      <c r="I12" s="608" t="s">
        <v>306</v>
      </c>
      <c r="J12" s="346">
        <v>894.36300000000006</v>
      </c>
      <c r="K12" s="346">
        <v>19693.312000000002</v>
      </c>
      <c r="L12" s="468">
        <v>4.33</v>
      </c>
      <c r="M12" s="472">
        <f t="shared" si="2"/>
        <v>852.72040960000015</v>
      </c>
      <c r="N12" s="473">
        <f t="shared" si="3"/>
        <v>20587.675000000003</v>
      </c>
      <c r="P12" s="608" t="s">
        <v>306</v>
      </c>
      <c r="Q12" s="346">
        <v>6501.2479999999996</v>
      </c>
      <c r="R12" s="346">
        <v>128190.28200000001</v>
      </c>
      <c r="S12" s="468">
        <v>4.63</v>
      </c>
      <c r="T12" s="472">
        <f t="shared" si="4"/>
        <v>5935.2100565999999</v>
      </c>
      <c r="U12" s="473">
        <f t="shared" si="5"/>
        <v>134691.53</v>
      </c>
    </row>
    <row r="13" spans="2:21" x14ac:dyDescent="0.2">
      <c r="B13" s="609" t="s">
        <v>290</v>
      </c>
      <c r="C13" s="346">
        <v>8.6968199999999989</v>
      </c>
      <c r="D13" s="346">
        <v>38.227789999999999</v>
      </c>
      <c r="E13" s="468">
        <v>1.84</v>
      </c>
      <c r="F13" s="472">
        <f t="shared" si="0"/>
        <v>0.70339133599999992</v>
      </c>
      <c r="G13" s="473">
        <f t="shared" si="1"/>
        <v>46.924610000000001</v>
      </c>
      <c r="I13" s="609" t="s">
        <v>290</v>
      </c>
      <c r="J13" s="346">
        <v>1485.0840000000001</v>
      </c>
      <c r="K13" s="346">
        <v>7796.9870000000001</v>
      </c>
      <c r="L13" s="468">
        <v>6.37</v>
      </c>
      <c r="M13" s="472">
        <f t="shared" si="2"/>
        <v>496.66807189999997</v>
      </c>
      <c r="N13" s="473">
        <f t="shared" si="3"/>
        <v>9282.0709999999999</v>
      </c>
      <c r="P13" s="609" t="s">
        <v>290</v>
      </c>
      <c r="Q13" s="346">
        <v>10051.968999999999</v>
      </c>
      <c r="R13" s="346">
        <v>42679.970999999998</v>
      </c>
      <c r="S13" s="468">
        <v>5.85</v>
      </c>
      <c r="T13" s="472">
        <f t="shared" si="4"/>
        <v>2496.7783034999998</v>
      </c>
      <c r="U13" s="473">
        <f t="shared" si="5"/>
        <v>52731.939999999995</v>
      </c>
    </row>
    <row r="14" spans="2:21" x14ac:dyDescent="0.2">
      <c r="B14" s="608" t="s">
        <v>291</v>
      </c>
      <c r="C14" s="346">
        <v>40.127139999999997</v>
      </c>
      <c r="D14" s="346">
        <v>60.216670000000001</v>
      </c>
      <c r="E14" s="468">
        <v>2.5299999999999998</v>
      </c>
      <c r="F14" s="472">
        <f t="shared" si="0"/>
        <v>1.5234817509999998</v>
      </c>
      <c r="G14" s="473">
        <f t="shared" si="1"/>
        <v>100.34380999999999</v>
      </c>
      <c r="I14" s="608" t="s">
        <v>291</v>
      </c>
      <c r="J14" s="346">
        <v>6731.116</v>
      </c>
      <c r="K14" s="346">
        <v>13663.496999999999</v>
      </c>
      <c r="L14" s="468">
        <v>5.29</v>
      </c>
      <c r="M14" s="472">
        <f t="shared" si="2"/>
        <v>722.7989912999999</v>
      </c>
      <c r="N14" s="473">
        <f t="shared" si="3"/>
        <v>20394.612999999998</v>
      </c>
      <c r="P14" s="608" t="s">
        <v>291</v>
      </c>
      <c r="Q14" s="346">
        <v>60699.254999999997</v>
      </c>
      <c r="R14" s="346">
        <v>75969.606</v>
      </c>
      <c r="S14" s="468">
        <v>5.68</v>
      </c>
      <c r="T14" s="472">
        <f t="shared" si="4"/>
        <v>4315.0736207999998</v>
      </c>
      <c r="U14" s="473">
        <f t="shared" si="5"/>
        <v>136668.861</v>
      </c>
    </row>
    <row r="15" spans="2:21" x14ac:dyDescent="0.2">
      <c r="B15" s="609" t="s">
        <v>292</v>
      </c>
      <c r="C15" s="346">
        <v>21.131790000000002</v>
      </c>
      <c r="D15" s="346">
        <v>93.152839999999998</v>
      </c>
      <c r="E15" s="468">
        <v>1.5</v>
      </c>
      <c r="F15" s="472">
        <f t="shared" si="0"/>
        <v>1.3972926000000001</v>
      </c>
      <c r="G15" s="473">
        <f t="shared" si="1"/>
        <v>114.28462999999999</v>
      </c>
      <c r="I15" s="609" t="s">
        <v>292</v>
      </c>
      <c r="J15" s="346">
        <v>5741.1769999999997</v>
      </c>
      <c r="K15" s="346">
        <v>23020.916000000001</v>
      </c>
      <c r="L15" s="468">
        <v>3.18</v>
      </c>
      <c r="M15" s="472">
        <f t="shared" si="2"/>
        <v>732.06512880000014</v>
      </c>
      <c r="N15" s="473">
        <f t="shared" si="3"/>
        <v>28762.093000000001</v>
      </c>
      <c r="P15" s="609" t="s">
        <v>292</v>
      </c>
      <c r="Q15" s="346">
        <v>18891.375</v>
      </c>
      <c r="R15" s="346">
        <v>108672.41800000001</v>
      </c>
      <c r="S15" s="468">
        <v>3.26</v>
      </c>
      <c r="T15" s="472">
        <f t="shared" si="4"/>
        <v>3542.7208267999999</v>
      </c>
      <c r="U15" s="473">
        <f t="shared" si="5"/>
        <v>127563.79300000001</v>
      </c>
    </row>
    <row r="16" spans="2:21" x14ac:dyDescent="0.2">
      <c r="B16" s="608" t="s">
        <v>293</v>
      </c>
      <c r="C16" s="346">
        <v>2.5629</v>
      </c>
      <c r="D16" s="346">
        <v>86.046720000000008</v>
      </c>
      <c r="E16" s="468">
        <v>0.94</v>
      </c>
      <c r="F16" s="472">
        <f t="shared" si="0"/>
        <v>0.80883916800000011</v>
      </c>
      <c r="G16" s="473">
        <f t="shared" si="1"/>
        <v>88.609620000000007</v>
      </c>
      <c r="I16" s="608" t="s">
        <v>293</v>
      </c>
      <c r="J16" s="346">
        <v>493.28500000000003</v>
      </c>
      <c r="K16" s="346">
        <v>21561.99</v>
      </c>
      <c r="L16" s="468">
        <v>3.33</v>
      </c>
      <c r="M16" s="472">
        <f t="shared" si="2"/>
        <v>718.01426700000013</v>
      </c>
      <c r="N16" s="473">
        <f t="shared" si="3"/>
        <v>22055.275000000001</v>
      </c>
      <c r="P16" s="608" t="s">
        <v>293</v>
      </c>
      <c r="Q16" s="346">
        <v>2485.41</v>
      </c>
      <c r="R16" s="346">
        <v>91781.61</v>
      </c>
      <c r="S16" s="468">
        <v>3.58</v>
      </c>
      <c r="T16" s="472">
        <f t="shared" si="4"/>
        <v>3285.7816379999999</v>
      </c>
      <c r="U16" s="473">
        <f t="shared" si="5"/>
        <v>94267.02</v>
      </c>
    </row>
    <row r="17" spans="2:21" x14ac:dyDescent="0.2">
      <c r="B17" s="609" t="s">
        <v>294</v>
      </c>
      <c r="C17" s="346">
        <v>10.756680000000001</v>
      </c>
      <c r="D17" s="346">
        <v>90.090509999999995</v>
      </c>
      <c r="E17" s="468">
        <v>1.65</v>
      </c>
      <c r="F17" s="472">
        <f t="shared" si="0"/>
        <v>1.486493415</v>
      </c>
      <c r="G17" s="473">
        <f t="shared" si="1"/>
        <v>100.84719</v>
      </c>
      <c r="I17" s="609" t="s">
        <v>294</v>
      </c>
      <c r="J17" s="346">
        <v>2199.4859999999999</v>
      </c>
      <c r="K17" s="346">
        <v>23342.064999999999</v>
      </c>
      <c r="L17" s="468">
        <v>4.28</v>
      </c>
      <c r="M17" s="472">
        <f t="shared" si="2"/>
        <v>999.04038199999991</v>
      </c>
      <c r="N17" s="473">
        <f t="shared" si="3"/>
        <v>25541.550999999999</v>
      </c>
      <c r="P17" s="609" t="s">
        <v>294</v>
      </c>
      <c r="Q17" s="346">
        <v>8917.5840000000007</v>
      </c>
      <c r="R17" s="346">
        <v>96314.125</v>
      </c>
      <c r="S17" s="468">
        <v>3.66</v>
      </c>
      <c r="T17" s="472">
        <f t="shared" si="4"/>
        <v>3525.0969749999999</v>
      </c>
      <c r="U17" s="473">
        <f t="shared" si="5"/>
        <v>105231.709</v>
      </c>
    </row>
    <row r="18" spans="2:21" x14ac:dyDescent="0.2">
      <c r="B18" s="608" t="s">
        <v>295</v>
      </c>
      <c r="C18" s="346">
        <v>19.459019999999999</v>
      </c>
      <c r="D18" s="346">
        <v>111.30824000000001</v>
      </c>
      <c r="E18" s="468">
        <v>1.38</v>
      </c>
      <c r="F18" s="472">
        <f t="shared" si="0"/>
        <v>1.5360537120000002</v>
      </c>
      <c r="G18" s="473">
        <f t="shared" si="1"/>
        <v>130.76726000000002</v>
      </c>
      <c r="I18" s="608" t="s">
        <v>295</v>
      </c>
      <c r="J18" s="346">
        <v>4162.5219999999999</v>
      </c>
      <c r="K18" s="346">
        <v>30266.026000000002</v>
      </c>
      <c r="L18" s="468">
        <v>4.7</v>
      </c>
      <c r="M18" s="472">
        <f t="shared" si="2"/>
        <v>1422.5032220000003</v>
      </c>
      <c r="N18" s="473">
        <f t="shared" si="3"/>
        <v>34428.548000000003</v>
      </c>
      <c r="P18" s="608" t="s">
        <v>295</v>
      </c>
      <c r="Q18" s="346">
        <v>17600.126</v>
      </c>
      <c r="R18" s="346">
        <v>122038.25900000001</v>
      </c>
      <c r="S18" s="468">
        <v>3.61</v>
      </c>
      <c r="T18" s="472">
        <f t="shared" si="4"/>
        <v>4405.5811499000001</v>
      </c>
      <c r="U18" s="473">
        <f t="shared" si="5"/>
        <v>139638.38500000001</v>
      </c>
    </row>
    <row r="19" spans="2:21" ht="13.5" thickBot="1" x14ac:dyDescent="0.25">
      <c r="B19" s="604" t="s">
        <v>296</v>
      </c>
      <c r="C19" s="352">
        <v>16.078620000000001</v>
      </c>
      <c r="D19" s="352">
        <v>84.771550000000005</v>
      </c>
      <c r="E19" s="469">
        <v>1.6</v>
      </c>
      <c r="F19" s="474">
        <f t="shared" si="0"/>
        <v>1.3563448000000002</v>
      </c>
      <c r="G19" s="475">
        <f t="shared" si="1"/>
        <v>100.85017000000001</v>
      </c>
      <c r="I19" s="604" t="s">
        <v>296</v>
      </c>
      <c r="J19" s="352">
        <v>2737.3220000000001</v>
      </c>
      <c r="K19" s="352">
        <v>17224.383999999998</v>
      </c>
      <c r="L19" s="469">
        <v>3.48</v>
      </c>
      <c r="M19" s="474">
        <f t="shared" si="2"/>
        <v>599.40856319999989</v>
      </c>
      <c r="N19" s="475">
        <f t="shared" si="3"/>
        <v>19961.705999999998</v>
      </c>
      <c r="P19" s="604" t="s">
        <v>296</v>
      </c>
      <c r="Q19" s="352">
        <v>15997.425999999999</v>
      </c>
      <c r="R19" s="352">
        <v>94047.62</v>
      </c>
      <c r="S19" s="469">
        <v>3.28</v>
      </c>
      <c r="T19" s="474">
        <f t="shared" si="4"/>
        <v>3084.7619359999994</v>
      </c>
      <c r="U19" s="475">
        <f t="shared" si="5"/>
        <v>110045.046</v>
      </c>
    </row>
    <row r="22" spans="2:21" ht="38.25" customHeight="1" x14ac:dyDescent="0.2">
      <c r="B22" s="1024" t="s">
        <v>734</v>
      </c>
      <c r="C22" s="1025"/>
      <c r="D22" s="1025"/>
      <c r="E22" s="1025"/>
      <c r="F22" s="1025"/>
      <c r="G22" s="1025"/>
      <c r="I22" s="1024" t="s">
        <v>733</v>
      </c>
      <c r="J22" s="1025"/>
      <c r="K22" s="1025"/>
      <c r="L22" s="1025"/>
      <c r="M22" s="1025"/>
      <c r="N22" s="1025"/>
      <c r="P22" s="1024" t="s">
        <v>732</v>
      </c>
      <c r="Q22" s="1025"/>
      <c r="R22" s="1025"/>
      <c r="S22" s="1025"/>
      <c r="T22" s="1025"/>
      <c r="U22" s="1025"/>
    </row>
    <row r="23" spans="2:21" ht="13.5" thickBot="1" x14ac:dyDescent="0.25">
      <c r="B23" s="614"/>
      <c r="C23" s="614" t="s">
        <v>78</v>
      </c>
      <c r="D23" s="614" t="s">
        <v>309</v>
      </c>
      <c r="E23" s="619" t="s">
        <v>82</v>
      </c>
      <c r="F23" s="614" t="s">
        <v>310</v>
      </c>
      <c r="G23" s="614" t="s">
        <v>486</v>
      </c>
      <c r="I23" s="614"/>
      <c r="J23" s="614" t="s">
        <v>78</v>
      </c>
      <c r="K23" s="614" t="s">
        <v>309</v>
      </c>
      <c r="L23" s="619" t="s">
        <v>82</v>
      </c>
      <c r="M23" s="614" t="s">
        <v>310</v>
      </c>
      <c r="N23" s="614" t="s">
        <v>486</v>
      </c>
      <c r="P23" s="614"/>
      <c r="Q23" s="614" t="s">
        <v>78</v>
      </c>
      <c r="R23" s="614" t="s">
        <v>309</v>
      </c>
      <c r="S23" s="619" t="s">
        <v>82</v>
      </c>
      <c r="T23" s="614" t="s">
        <v>310</v>
      </c>
      <c r="U23" s="614" t="s">
        <v>486</v>
      </c>
    </row>
    <row r="24" spans="2:21" x14ac:dyDescent="0.2">
      <c r="B24" s="612" t="s">
        <v>721</v>
      </c>
      <c r="C24" s="618">
        <v>127.51262</v>
      </c>
      <c r="D24" s="618">
        <v>177.55427</v>
      </c>
      <c r="E24" s="617">
        <v>1.838364322627509</v>
      </c>
      <c r="F24" s="616">
        <f t="shared" ref="F24:F38" si="6">D24*E24/100</f>
        <v>3.2640943529817186</v>
      </c>
      <c r="G24" s="615">
        <f t="shared" ref="G24:G38" si="7">C24+D24</f>
        <v>305.06689</v>
      </c>
      <c r="I24" s="612" t="s">
        <v>721</v>
      </c>
      <c r="J24" s="618">
        <v>26375.967000000001</v>
      </c>
      <c r="K24" s="618">
        <v>63619.548999999999</v>
      </c>
      <c r="L24" s="617">
        <v>2.44942320338764</v>
      </c>
      <c r="M24" s="616">
        <f t="shared" ref="M24:M38" si="8">K24*L24/100</f>
        <v>1558.3119950965693</v>
      </c>
      <c r="N24" s="615">
        <f t="shared" ref="N24:N38" si="9">J24+K24</f>
        <v>89995.516000000003</v>
      </c>
      <c r="P24" s="612" t="s">
        <v>721</v>
      </c>
      <c r="Q24" s="618">
        <v>149700.77499999999</v>
      </c>
      <c r="R24" s="618">
        <v>155504.29199999999</v>
      </c>
      <c r="S24" s="617">
        <v>2.9411401766810834</v>
      </c>
      <c r="T24" s="616">
        <f t="shared" ref="T24:T38" si="10">R24*S24/100</f>
        <v>4573.599208475468</v>
      </c>
      <c r="U24" s="615">
        <f t="shared" ref="U24:U38" si="11">Q24+R24</f>
        <v>305205.06699999998</v>
      </c>
    </row>
    <row r="25" spans="2:21" x14ac:dyDescent="0.2">
      <c r="B25" s="608" t="s">
        <v>286</v>
      </c>
      <c r="C25" s="346">
        <v>13.633100000000001</v>
      </c>
      <c r="D25" s="346">
        <v>17.642330000000001</v>
      </c>
      <c r="E25" s="468">
        <v>5.7</v>
      </c>
      <c r="F25" s="472">
        <f t="shared" si="6"/>
        <v>1.0056128100000001</v>
      </c>
      <c r="G25" s="473">
        <f t="shared" si="7"/>
        <v>31.27543</v>
      </c>
      <c r="I25" s="608" t="s">
        <v>286</v>
      </c>
      <c r="J25" s="346">
        <v>2712.08</v>
      </c>
      <c r="K25" s="346">
        <v>6126.6009999999997</v>
      </c>
      <c r="L25" s="468">
        <v>7.2</v>
      </c>
      <c r="M25" s="472">
        <f t="shared" si="8"/>
        <v>441.11527199999995</v>
      </c>
      <c r="N25" s="473">
        <f t="shared" si="9"/>
        <v>8838.6810000000005</v>
      </c>
      <c r="P25" s="608" t="s">
        <v>286</v>
      </c>
      <c r="Q25" s="346">
        <v>21655.496999999999</v>
      </c>
      <c r="R25" s="346">
        <v>17479.114000000001</v>
      </c>
      <c r="S25" s="468">
        <v>9.16</v>
      </c>
      <c r="T25" s="472">
        <f t="shared" si="10"/>
        <v>1601.0868424</v>
      </c>
      <c r="U25" s="473">
        <f t="shared" si="11"/>
        <v>39134.611000000004</v>
      </c>
    </row>
    <row r="26" spans="2:21" x14ac:dyDescent="0.2">
      <c r="B26" s="609" t="s">
        <v>307</v>
      </c>
      <c r="C26" s="346">
        <v>8.0540900000000004</v>
      </c>
      <c r="D26" s="346">
        <v>16.745930000000001</v>
      </c>
      <c r="E26" s="468">
        <v>5.48</v>
      </c>
      <c r="F26" s="472">
        <f t="shared" si="6"/>
        <v>0.91767696400000021</v>
      </c>
      <c r="G26" s="473">
        <f t="shared" si="7"/>
        <v>24.800020000000004</v>
      </c>
      <c r="I26" s="609" t="s">
        <v>307</v>
      </c>
      <c r="J26" s="346">
        <v>1821.8979999999999</v>
      </c>
      <c r="K26" s="346">
        <v>6429.5550000000003</v>
      </c>
      <c r="L26" s="468">
        <v>7.14</v>
      </c>
      <c r="M26" s="472">
        <f t="shared" si="8"/>
        <v>459.07022699999999</v>
      </c>
      <c r="N26" s="473">
        <f t="shared" si="9"/>
        <v>8251.4529999999995</v>
      </c>
      <c r="P26" s="609" t="s">
        <v>307</v>
      </c>
      <c r="Q26" s="346">
        <v>7957.8720000000003</v>
      </c>
      <c r="R26" s="346">
        <v>15157.57</v>
      </c>
      <c r="S26" s="468">
        <v>9.6199999999999992</v>
      </c>
      <c r="T26" s="472">
        <f t="shared" si="10"/>
        <v>1458.158234</v>
      </c>
      <c r="U26" s="473">
        <f t="shared" si="11"/>
        <v>23115.441999999999</v>
      </c>
    </row>
    <row r="27" spans="2:21" x14ac:dyDescent="0.2">
      <c r="B27" s="608" t="s">
        <v>287</v>
      </c>
      <c r="C27" s="346">
        <v>17.605900000000002</v>
      </c>
      <c r="D27" s="346">
        <v>15.72425</v>
      </c>
      <c r="E27" s="468">
        <v>7.12</v>
      </c>
      <c r="F27" s="472">
        <f t="shared" si="6"/>
        <v>1.1195666</v>
      </c>
      <c r="G27" s="473">
        <f t="shared" si="7"/>
        <v>33.330150000000003</v>
      </c>
      <c r="I27" s="608" t="s">
        <v>287</v>
      </c>
      <c r="J27" s="346">
        <v>3382.819</v>
      </c>
      <c r="K27" s="346">
        <v>4079.4380000000001</v>
      </c>
      <c r="L27" s="468">
        <v>7.87</v>
      </c>
      <c r="M27" s="472">
        <f t="shared" si="8"/>
        <v>321.0517706</v>
      </c>
      <c r="N27" s="473">
        <f t="shared" si="9"/>
        <v>7462.2569999999996</v>
      </c>
      <c r="P27" s="608" t="s">
        <v>287</v>
      </c>
      <c r="Q27" s="346">
        <v>18879.43</v>
      </c>
      <c r="R27" s="346">
        <v>10462.906999999999</v>
      </c>
      <c r="S27" s="468">
        <v>9.36</v>
      </c>
      <c r="T27" s="472">
        <f t="shared" si="10"/>
        <v>979.32809519999978</v>
      </c>
      <c r="U27" s="473">
        <f t="shared" si="11"/>
        <v>29342.337</v>
      </c>
    </row>
    <row r="28" spans="2:21" x14ac:dyDescent="0.2">
      <c r="B28" s="609" t="s">
        <v>288</v>
      </c>
      <c r="C28" s="346">
        <v>4.7160200000000003</v>
      </c>
      <c r="D28" s="346">
        <v>7.3907499999999997</v>
      </c>
      <c r="E28" s="468">
        <v>10.36</v>
      </c>
      <c r="F28" s="472">
        <f t="shared" si="6"/>
        <v>0.76568169999999991</v>
      </c>
      <c r="G28" s="473">
        <f t="shared" si="7"/>
        <v>12.106770000000001</v>
      </c>
      <c r="I28" s="609" t="s">
        <v>288</v>
      </c>
      <c r="J28" s="346">
        <v>1088.232</v>
      </c>
      <c r="K28" s="346">
        <v>2411.3879999999999</v>
      </c>
      <c r="L28" s="468">
        <v>12.68</v>
      </c>
      <c r="M28" s="472">
        <f t="shared" si="8"/>
        <v>305.76399839999999</v>
      </c>
      <c r="N28" s="473">
        <f t="shared" si="9"/>
        <v>3499.62</v>
      </c>
      <c r="P28" s="609" t="s">
        <v>288</v>
      </c>
      <c r="Q28" s="346">
        <v>3794.451</v>
      </c>
      <c r="R28" s="346">
        <v>5483.6</v>
      </c>
      <c r="S28" s="468">
        <v>14.87</v>
      </c>
      <c r="T28" s="472">
        <f t="shared" si="10"/>
        <v>815.41131999999993</v>
      </c>
      <c r="U28" s="473">
        <f t="shared" si="11"/>
        <v>9278.0509999999995</v>
      </c>
    </row>
    <row r="29" spans="2:21" x14ac:dyDescent="0.2">
      <c r="B29" s="608" t="s">
        <v>305</v>
      </c>
      <c r="C29" s="346">
        <v>0.58132000000000006</v>
      </c>
      <c r="D29" s="346">
        <v>2.0668699999999998</v>
      </c>
      <c r="E29" s="468">
        <v>19.760000000000002</v>
      </c>
      <c r="F29" s="472">
        <f t="shared" si="6"/>
        <v>0.40841351199999998</v>
      </c>
      <c r="G29" s="473">
        <f t="shared" si="7"/>
        <v>2.6481899999999996</v>
      </c>
      <c r="I29" s="608" t="s">
        <v>305</v>
      </c>
      <c r="J29" s="346">
        <v>128.36199999999999</v>
      </c>
      <c r="K29" s="346">
        <v>600.87199999999996</v>
      </c>
      <c r="L29" s="468">
        <v>18.899999999999999</v>
      </c>
      <c r="M29" s="472">
        <f t="shared" si="8"/>
        <v>113.56480799999997</v>
      </c>
      <c r="N29" s="473">
        <f t="shared" si="9"/>
        <v>729.23399999999992</v>
      </c>
      <c r="P29" s="608" t="s">
        <v>305</v>
      </c>
      <c r="Q29" s="346">
        <v>509.09300000000002</v>
      </c>
      <c r="R29" s="346">
        <v>1634.7049999999999</v>
      </c>
      <c r="S29" s="468">
        <v>28.62</v>
      </c>
      <c r="T29" s="472">
        <f t="shared" si="10"/>
        <v>467.85257100000001</v>
      </c>
      <c r="U29" s="473">
        <f t="shared" si="11"/>
        <v>2143.7979999999998</v>
      </c>
    </row>
    <row r="30" spans="2:21" x14ac:dyDescent="0.2">
      <c r="B30" s="609" t="s">
        <v>289</v>
      </c>
      <c r="C30" s="346">
        <v>0.22287000000000001</v>
      </c>
      <c r="D30" s="346">
        <v>2.8965300000000003</v>
      </c>
      <c r="E30" s="468">
        <v>17.07</v>
      </c>
      <c r="F30" s="472">
        <f t="shared" si="6"/>
        <v>0.49443767100000002</v>
      </c>
      <c r="G30" s="473">
        <f t="shared" si="7"/>
        <v>3.1194000000000002</v>
      </c>
      <c r="I30" s="609" t="s">
        <v>289</v>
      </c>
      <c r="J30" s="346">
        <v>50.957999999999998</v>
      </c>
      <c r="K30" s="346">
        <v>924.99400000000003</v>
      </c>
      <c r="L30" s="468">
        <v>17.899999999999999</v>
      </c>
      <c r="M30" s="472">
        <f t="shared" si="8"/>
        <v>165.573926</v>
      </c>
      <c r="N30" s="473">
        <f t="shared" si="9"/>
        <v>975.952</v>
      </c>
      <c r="P30" s="609" t="s">
        <v>289</v>
      </c>
      <c r="Q30" s="346">
        <v>152.40199999999999</v>
      </c>
      <c r="R30" s="346">
        <v>2050.7620000000002</v>
      </c>
      <c r="S30" s="468">
        <v>20.78</v>
      </c>
      <c r="T30" s="472">
        <f t="shared" si="10"/>
        <v>426.14834360000009</v>
      </c>
      <c r="U30" s="473">
        <f t="shared" si="11"/>
        <v>2203.1640000000002</v>
      </c>
    </row>
    <row r="31" spans="2:21" x14ac:dyDescent="0.2">
      <c r="B31" s="608" t="s">
        <v>306</v>
      </c>
      <c r="C31" s="346">
        <v>2.5344600000000002</v>
      </c>
      <c r="D31" s="346">
        <v>7.7100400000000002</v>
      </c>
      <c r="E31" s="468">
        <v>8.5500000000000007</v>
      </c>
      <c r="F31" s="472">
        <f t="shared" si="6"/>
        <v>0.65920842000000013</v>
      </c>
      <c r="G31" s="473">
        <f t="shared" si="7"/>
        <v>10.2445</v>
      </c>
      <c r="I31" s="608" t="s">
        <v>306</v>
      </c>
      <c r="J31" s="346">
        <v>536.35400000000004</v>
      </c>
      <c r="K31" s="346">
        <v>2822.6860000000001</v>
      </c>
      <c r="L31" s="468">
        <v>10.39</v>
      </c>
      <c r="M31" s="472">
        <f t="shared" si="8"/>
        <v>293.27707540000006</v>
      </c>
      <c r="N31" s="473">
        <f t="shared" si="9"/>
        <v>3359.04</v>
      </c>
      <c r="P31" s="608" t="s">
        <v>306</v>
      </c>
      <c r="Q31" s="346">
        <v>2597.6170000000002</v>
      </c>
      <c r="R31" s="346">
        <v>6826.3419999999996</v>
      </c>
      <c r="S31" s="468">
        <v>10.94</v>
      </c>
      <c r="T31" s="472">
        <f t="shared" si="10"/>
        <v>746.80181479999999</v>
      </c>
      <c r="U31" s="473">
        <f t="shared" si="11"/>
        <v>9423.9589999999989</v>
      </c>
    </row>
    <row r="32" spans="2:21" x14ac:dyDescent="0.2">
      <c r="B32" s="609" t="s">
        <v>290</v>
      </c>
      <c r="C32" s="346">
        <v>3.00421</v>
      </c>
      <c r="D32" s="346">
        <v>5.1026300000000004</v>
      </c>
      <c r="E32" s="468">
        <v>12.79</v>
      </c>
      <c r="F32" s="472">
        <f t="shared" si="6"/>
        <v>0.65262637700000004</v>
      </c>
      <c r="G32" s="473">
        <f t="shared" si="7"/>
        <v>8.10684</v>
      </c>
      <c r="I32" s="609" t="s">
        <v>290</v>
      </c>
      <c r="J32" s="346">
        <v>701.005</v>
      </c>
      <c r="K32" s="346">
        <v>1162.385</v>
      </c>
      <c r="L32" s="468">
        <v>12.31</v>
      </c>
      <c r="M32" s="472">
        <f t="shared" si="8"/>
        <v>143.08959350000001</v>
      </c>
      <c r="N32" s="473">
        <f t="shared" si="9"/>
        <v>1863.3899999999999</v>
      </c>
      <c r="P32" s="609" t="s">
        <v>290</v>
      </c>
      <c r="Q32" s="346">
        <v>2461.973</v>
      </c>
      <c r="R32" s="346">
        <v>4037.9679999999998</v>
      </c>
      <c r="S32" s="468">
        <v>18.18</v>
      </c>
      <c r="T32" s="472">
        <f t="shared" si="10"/>
        <v>734.10258239999996</v>
      </c>
      <c r="U32" s="473">
        <f t="shared" si="11"/>
        <v>6499.9409999999998</v>
      </c>
    </row>
    <row r="33" spans="2:21" x14ac:dyDescent="0.2">
      <c r="B33" s="608" t="s">
        <v>291</v>
      </c>
      <c r="C33" s="346">
        <v>37.577539999999999</v>
      </c>
      <c r="D33" s="346">
        <v>23.771470000000001</v>
      </c>
      <c r="E33" s="468">
        <v>5.88</v>
      </c>
      <c r="F33" s="472">
        <f t="shared" si="6"/>
        <v>1.3977624360000001</v>
      </c>
      <c r="G33" s="473">
        <f t="shared" si="7"/>
        <v>61.34901</v>
      </c>
      <c r="I33" s="608" t="s">
        <v>291</v>
      </c>
      <c r="J33" s="346">
        <v>6610.5060000000003</v>
      </c>
      <c r="K33" s="346">
        <v>8211.4609999999993</v>
      </c>
      <c r="L33" s="468">
        <v>7.64</v>
      </c>
      <c r="M33" s="472">
        <f t="shared" si="8"/>
        <v>627.35562039999991</v>
      </c>
      <c r="N33" s="473">
        <f t="shared" si="9"/>
        <v>14821.967000000001</v>
      </c>
      <c r="P33" s="608" t="s">
        <v>291</v>
      </c>
      <c r="Q33" s="346">
        <v>58021.981</v>
      </c>
      <c r="R33" s="346">
        <v>28155.359</v>
      </c>
      <c r="S33" s="468">
        <v>9.49</v>
      </c>
      <c r="T33" s="472">
        <f t="shared" si="10"/>
        <v>2671.9435691000003</v>
      </c>
      <c r="U33" s="473">
        <f t="shared" si="11"/>
        <v>86177.34</v>
      </c>
    </row>
    <row r="34" spans="2:21" x14ac:dyDescent="0.2">
      <c r="B34" s="609" t="s">
        <v>292</v>
      </c>
      <c r="C34" s="346">
        <v>7.6618399999999998</v>
      </c>
      <c r="D34" s="346">
        <v>13.135069999999999</v>
      </c>
      <c r="E34" s="468">
        <v>5.31</v>
      </c>
      <c r="F34" s="472">
        <f t="shared" si="6"/>
        <v>0.69747221699999984</v>
      </c>
      <c r="G34" s="473">
        <f t="shared" si="7"/>
        <v>20.796909999999997</v>
      </c>
      <c r="I34" s="609" t="s">
        <v>292</v>
      </c>
      <c r="J34" s="346">
        <v>2183.2530000000002</v>
      </c>
      <c r="K34" s="346">
        <v>4713.0029999999997</v>
      </c>
      <c r="L34" s="468">
        <v>6.44</v>
      </c>
      <c r="M34" s="472">
        <f t="shared" si="8"/>
        <v>303.51739320000001</v>
      </c>
      <c r="N34" s="473">
        <f t="shared" si="9"/>
        <v>6896.2559999999994</v>
      </c>
      <c r="P34" s="609" t="s">
        <v>292</v>
      </c>
      <c r="Q34" s="346">
        <v>6295.808</v>
      </c>
      <c r="R34" s="346">
        <v>11965.755999999999</v>
      </c>
      <c r="S34" s="468">
        <v>9.36</v>
      </c>
      <c r="T34" s="472">
        <f t="shared" si="10"/>
        <v>1119.9947615999999</v>
      </c>
      <c r="U34" s="473">
        <f t="shared" si="11"/>
        <v>18261.563999999998</v>
      </c>
    </row>
    <row r="35" spans="2:21" x14ac:dyDescent="0.2">
      <c r="B35" s="608" t="s">
        <v>293</v>
      </c>
      <c r="C35" s="346">
        <v>1.1405399999999999</v>
      </c>
      <c r="D35" s="346">
        <v>14.0055</v>
      </c>
      <c r="E35" s="468">
        <v>5.93</v>
      </c>
      <c r="F35" s="472">
        <f t="shared" si="6"/>
        <v>0.83052614999999985</v>
      </c>
      <c r="G35" s="473">
        <f t="shared" si="7"/>
        <v>15.146039999999999</v>
      </c>
      <c r="I35" s="608" t="s">
        <v>293</v>
      </c>
      <c r="J35" s="346">
        <v>273.46699999999998</v>
      </c>
      <c r="K35" s="346">
        <v>5134.9880000000003</v>
      </c>
      <c r="L35" s="468">
        <v>7</v>
      </c>
      <c r="M35" s="472">
        <f t="shared" si="8"/>
        <v>359.44916000000006</v>
      </c>
      <c r="N35" s="473">
        <f t="shared" si="9"/>
        <v>5408.4549999999999</v>
      </c>
      <c r="P35" s="608" t="s">
        <v>293</v>
      </c>
      <c r="Q35" s="346">
        <v>825.09900000000005</v>
      </c>
      <c r="R35" s="346">
        <v>10385.531999999999</v>
      </c>
      <c r="S35" s="468">
        <v>10.029999999999999</v>
      </c>
      <c r="T35" s="472">
        <f t="shared" si="10"/>
        <v>1041.6688595999999</v>
      </c>
      <c r="U35" s="473">
        <f t="shared" si="11"/>
        <v>11210.630999999999</v>
      </c>
    </row>
    <row r="36" spans="2:21" x14ac:dyDescent="0.2">
      <c r="B36" s="609" t="s">
        <v>294</v>
      </c>
      <c r="C36" s="346">
        <v>6.0478100000000001</v>
      </c>
      <c r="D36" s="346">
        <v>14.57615</v>
      </c>
      <c r="E36" s="468">
        <v>5.34</v>
      </c>
      <c r="F36" s="472">
        <f t="shared" si="6"/>
        <v>0.77836640999999995</v>
      </c>
      <c r="G36" s="473">
        <f t="shared" si="7"/>
        <v>20.62396</v>
      </c>
      <c r="I36" s="609" t="s">
        <v>294</v>
      </c>
      <c r="J36" s="346">
        <v>1422.7909999999999</v>
      </c>
      <c r="K36" s="346">
        <v>6317.1670000000004</v>
      </c>
      <c r="L36" s="468">
        <v>8.24</v>
      </c>
      <c r="M36" s="472">
        <f t="shared" si="8"/>
        <v>520.53456080000001</v>
      </c>
      <c r="N36" s="473">
        <f t="shared" si="9"/>
        <v>7739.9580000000005</v>
      </c>
      <c r="P36" s="609" t="s">
        <v>294</v>
      </c>
      <c r="Q36" s="346">
        <v>4918.6819999999998</v>
      </c>
      <c r="R36" s="346">
        <v>10318.472</v>
      </c>
      <c r="S36" s="468">
        <v>8.02</v>
      </c>
      <c r="T36" s="472">
        <f t="shared" si="10"/>
        <v>827.54145439999991</v>
      </c>
      <c r="U36" s="473">
        <f t="shared" si="11"/>
        <v>15237.153999999999</v>
      </c>
    </row>
    <row r="37" spans="2:21" x14ac:dyDescent="0.2">
      <c r="B37" s="608" t="s">
        <v>295</v>
      </c>
      <c r="C37" s="346">
        <v>11.581440000000001</v>
      </c>
      <c r="D37" s="346">
        <v>18.497499999999999</v>
      </c>
      <c r="E37" s="468">
        <v>6.24</v>
      </c>
      <c r="F37" s="472">
        <f t="shared" si="6"/>
        <v>1.1542439999999998</v>
      </c>
      <c r="G37" s="473">
        <f t="shared" si="7"/>
        <v>30.078939999999999</v>
      </c>
      <c r="I37" s="608" t="s">
        <v>295</v>
      </c>
      <c r="J37" s="346">
        <v>3057.8180000000002</v>
      </c>
      <c r="K37" s="346">
        <v>8707.0329999999994</v>
      </c>
      <c r="L37" s="468">
        <v>9.33</v>
      </c>
      <c r="M37" s="472">
        <f t="shared" si="8"/>
        <v>812.36617889999991</v>
      </c>
      <c r="N37" s="473">
        <f t="shared" si="9"/>
        <v>11764.850999999999</v>
      </c>
      <c r="P37" s="608" t="s">
        <v>295</v>
      </c>
      <c r="Q37" s="346">
        <v>8521.9660000000003</v>
      </c>
      <c r="R37" s="346">
        <v>13060.883</v>
      </c>
      <c r="S37" s="468">
        <v>9.09</v>
      </c>
      <c r="T37" s="472">
        <f t="shared" si="10"/>
        <v>1187.2342646999998</v>
      </c>
      <c r="U37" s="473">
        <f t="shared" si="11"/>
        <v>21582.849000000002</v>
      </c>
    </row>
    <row r="38" spans="2:21" ht="13.5" thickBot="1" x14ac:dyDescent="0.25">
      <c r="B38" s="604" t="s">
        <v>296</v>
      </c>
      <c r="C38" s="352">
        <v>13.151479999999999</v>
      </c>
      <c r="D38" s="352">
        <v>18.289249999999999</v>
      </c>
      <c r="E38" s="469">
        <v>4.3099999999999996</v>
      </c>
      <c r="F38" s="474">
        <f t="shared" si="6"/>
        <v>0.78826667499999981</v>
      </c>
      <c r="G38" s="475">
        <f t="shared" si="7"/>
        <v>31.440729999999999</v>
      </c>
      <c r="I38" s="604" t="s">
        <v>296</v>
      </c>
      <c r="J38" s="352">
        <v>2406.424</v>
      </c>
      <c r="K38" s="352">
        <v>5977.9780000000001</v>
      </c>
      <c r="L38" s="469">
        <v>6.12</v>
      </c>
      <c r="M38" s="474">
        <f t="shared" si="8"/>
        <v>365.85225360000004</v>
      </c>
      <c r="N38" s="475">
        <f t="shared" si="9"/>
        <v>8384.402</v>
      </c>
      <c r="P38" s="604" t="s">
        <v>296</v>
      </c>
      <c r="Q38" s="352">
        <v>13108.904</v>
      </c>
      <c r="R38" s="352">
        <v>18485.322</v>
      </c>
      <c r="S38" s="469">
        <v>6.7</v>
      </c>
      <c r="T38" s="474">
        <f t="shared" si="10"/>
        <v>1238.5165740000002</v>
      </c>
      <c r="U38" s="475">
        <f t="shared" si="11"/>
        <v>31594.226000000002</v>
      </c>
    </row>
    <row r="41" spans="2:21" ht="38.25" customHeight="1" x14ac:dyDescent="0.2">
      <c r="B41" s="1024" t="s">
        <v>731</v>
      </c>
      <c r="C41" s="1025"/>
      <c r="D41" s="1025"/>
      <c r="E41" s="1025"/>
      <c r="F41" s="1025"/>
      <c r="G41" s="1025"/>
      <c r="I41" s="1024" t="s">
        <v>730</v>
      </c>
      <c r="J41" s="1025"/>
      <c r="K41" s="1025"/>
      <c r="L41" s="1025"/>
      <c r="M41" s="1025"/>
      <c r="N41" s="1025"/>
      <c r="P41" s="1024" t="s">
        <v>729</v>
      </c>
      <c r="Q41" s="1025"/>
      <c r="R41" s="1025"/>
      <c r="S41" s="1025"/>
      <c r="T41" s="1025"/>
      <c r="U41" s="1025"/>
    </row>
    <row r="42" spans="2:21" ht="13.5" thickBot="1" x14ac:dyDescent="0.25">
      <c r="B42" s="614"/>
      <c r="C42" s="614" t="s">
        <v>78</v>
      </c>
      <c r="D42" s="614" t="s">
        <v>309</v>
      </c>
      <c r="E42" s="619" t="s">
        <v>82</v>
      </c>
      <c r="F42" s="614" t="s">
        <v>310</v>
      </c>
      <c r="G42" s="614" t="s">
        <v>486</v>
      </c>
      <c r="I42" s="614"/>
      <c r="J42" s="614" t="s">
        <v>78</v>
      </c>
      <c r="K42" s="614" t="s">
        <v>309</v>
      </c>
      <c r="L42" s="619" t="s">
        <v>82</v>
      </c>
      <c r="M42" s="614" t="s">
        <v>310</v>
      </c>
      <c r="N42" s="614" t="s">
        <v>486</v>
      </c>
      <c r="P42" s="614"/>
      <c r="Q42" s="614" t="s">
        <v>78</v>
      </c>
      <c r="R42" s="614" t="s">
        <v>309</v>
      </c>
      <c r="S42" s="619" t="s">
        <v>82</v>
      </c>
      <c r="T42" s="614" t="s">
        <v>310</v>
      </c>
      <c r="U42" s="614" t="s">
        <v>486</v>
      </c>
    </row>
    <row r="43" spans="2:21" x14ac:dyDescent="0.2">
      <c r="B43" s="612" t="s">
        <v>721</v>
      </c>
      <c r="C43" s="618">
        <v>53.660849999999996</v>
      </c>
      <c r="D43" s="618">
        <v>838.83070999999995</v>
      </c>
      <c r="E43" s="617">
        <v>0.83000155512029494</v>
      </c>
      <c r="F43" s="616">
        <f t="shared" ref="F43:F57" si="12">D43*E43/100</f>
        <v>6.9623079378266111</v>
      </c>
      <c r="G43" s="615">
        <f t="shared" ref="G43:G57" si="13">C43+D43</f>
        <v>892.49155999999994</v>
      </c>
      <c r="I43" s="612" t="s">
        <v>721</v>
      </c>
      <c r="J43" s="618">
        <v>8760.9670000000006</v>
      </c>
      <c r="K43" s="618">
        <v>169181.13</v>
      </c>
      <c r="L43" s="617">
        <v>1.6188044985800498</v>
      </c>
      <c r="M43" s="616">
        <f t="shared" ref="M43:M57" si="14">K43*L43/100</f>
        <v>2738.7117431885622</v>
      </c>
      <c r="N43" s="615">
        <f t="shared" ref="N43:N57" si="15">J43+K43</f>
        <v>177942.09700000001</v>
      </c>
      <c r="P43" s="612" t="s">
        <v>721</v>
      </c>
      <c r="Q43" s="618">
        <v>58204.506999999998</v>
      </c>
      <c r="R43" s="618">
        <v>983274.19900000002</v>
      </c>
      <c r="S43" s="617">
        <v>1.365053762885452</v>
      </c>
      <c r="T43" s="616">
        <f t="shared" ref="T43:T57" si="16">R43*S43/100</f>
        <v>13422.221452931286</v>
      </c>
      <c r="U43" s="615">
        <f t="shared" ref="U43:U57" si="17">Q43+R43</f>
        <v>1041478.706</v>
      </c>
    </row>
    <row r="44" spans="2:21" x14ac:dyDescent="0.2">
      <c r="B44" s="608" t="s">
        <v>286</v>
      </c>
      <c r="C44" s="346">
        <v>2.7056399999999998</v>
      </c>
      <c r="D44" s="346">
        <v>42.14284</v>
      </c>
      <c r="E44" s="468">
        <v>2.77</v>
      </c>
      <c r="F44" s="472">
        <f t="shared" si="12"/>
        <v>1.167356668</v>
      </c>
      <c r="G44" s="473">
        <f t="shared" si="13"/>
        <v>44.848480000000002</v>
      </c>
      <c r="I44" s="608" t="s">
        <v>286</v>
      </c>
      <c r="J44" s="346">
        <v>347.90800000000002</v>
      </c>
      <c r="K44" s="346">
        <v>7377.8130000000001</v>
      </c>
      <c r="L44" s="468">
        <v>6.37</v>
      </c>
      <c r="M44" s="472">
        <f t="shared" si="14"/>
        <v>469.96668810000006</v>
      </c>
      <c r="N44" s="473">
        <f t="shared" si="15"/>
        <v>7725.7210000000005</v>
      </c>
      <c r="P44" s="608" t="s">
        <v>286</v>
      </c>
      <c r="Q44" s="346">
        <v>4478.9949999999999</v>
      </c>
      <c r="R44" s="346">
        <v>45012.286999999997</v>
      </c>
      <c r="S44" s="468">
        <v>5.59</v>
      </c>
      <c r="T44" s="472">
        <f t="shared" si="16"/>
        <v>2516.1868433</v>
      </c>
      <c r="U44" s="473">
        <f t="shared" si="17"/>
        <v>49491.281999999999</v>
      </c>
    </row>
    <row r="45" spans="2:21" x14ac:dyDescent="0.2">
      <c r="B45" s="609" t="s">
        <v>307</v>
      </c>
      <c r="C45" s="346">
        <v>2.2127600000000003</v>
      </c>
      <c r="D45" s="346">
        <v>79.515889999999999</v>
      </c>
      <c r="E45" s="468">
        <v>2.44</v>
      </c>
      <c r="F45" s="472">
        <f t="shared" si="12"/>
        <v>1.9401877159999998</v>
      </c>
      <c r="G45" s="473">
        <f t="shared" si="13"/>
        <v>81.728650000000002</v>
      </c>
      <c r="I45" s="609" t="s">
        <v>307</v>
      </c>
      <c r="J45" s="346">
        <v>293.49099999999999</v>
      </c>
      <c r="K45" s="346">
        <v>17157.629000000001</v>
      </c>
      <c r="L45" s="468">
        <v>5.69</v>
      </c>
      <c r="M45" s="472">
        <f t="shared" si="14"/>
        <v>976.2690901000002</v>
      </c>
      <c r="N45" s="473">
        <f t="shared" si="15"/>
        <v>17451.120000000003</v>
      </c>
      <c r="P45" s="609" t="s">
        <v>307</v>
      </c>
      <c r="Q45" s="346">
        <v>2587.0569999999998</v>
      </c>
      <c r="R45" s="346">
        <v>98449.111000000004</v>
      </c>
      <c r="S45" s="468">
        <v>4.21</v>
      </c>
      <c r="T45" s="472">
        <f t="shared" si="16"/>
        <v>4144.7075731000004</v>
      </c>
      <c r="U45" s="473">
        <f t="shared" si="17"/>
        <v>101036.16800000001</v>
      </c>
    </row>
    <row r="46" spans="2:21" x14ac:dyDescent="0.2">
      <c r="B46" s="608" t="s">
        <v>287</v>
      </c>
      <c r="C46" s="346">
        <v>4.1018500000000007</v>
      </c>
      <c r="D46" s="346">
        <v>86.757109999999997</v>
      </c>
      <c r="E46" s="468">
        <v>2.0299999999999998</v>
      </c>
      <c r="F46" s="472">
        <f t="shared" si="12"/>
        <v>1.7611693329999998</v>
      </c>
      <c r="G46" s="473">
        <f t="shared" si="13"/>
        <v>90.858959999999996</v>
      </c>
      <c r="I46" s="608" t="s">
        <v>287</v>
      </c>
      <c r="J46" s="346">
        <v>538.20299999999997</v>
      </c>
      <c r="K46" s="346">
        <v>15643.007</v>
      </c>
      <c r="L46" s="468">
        <v>5.31</v>
      </c>
      <c r="M46" s="472">
        <f t="shared" si="14"/>
        <v>830.64367170000003</v>
      </c>
      <c r="N46" s="473">
        <f t="shared" si="15"/>
        <v>16181.21</v>
      </c>
      <c r="P46" s="608" t="s">
        <v>287</v>
      </c>
      <c r="Q46" s="346">
        <v>4193.1610000000001</v>
      </c>
      <c r="R46" s="346">
        <v>95460.7</v>
      </c>
      <c r="S46" s="468">
        <v>4.79</v>
      </c>
      <c r="T46" s="472">
        <f t="shared" si="16"/>
        <v>4572.5675299999994</v>
      </c>
      <c r="U46" s="473">
        <f t="shared" si="17"/>
        <v>99653.861000000004</v>
      </c>
    </row>
    <row r="47" spans="2:21" x14ac:dyDescent="0.2">
      <c r="B47" s="609" t="s">
        <v>288</v>
      </c>
      <c r="C47" s="346">
        <v>2.0144700000000002</v>
      </c>
      <c r="D47" s="346">
        <v>37.045209999999997</v>
      </c>
      <c r="E47" s="468">
        <v>2.93</v>
      </c>
      <c r="F47" s="472">
        <f t="shared" si="12"/>
        <v>1.085424653</v>
      </c>
      <c r="G47" s="473">
        <f t="shared" si="13"/>
        <v>39.05968</v>
      </c>
      <c r="I47" s="609" t="s">
        <v>288</v>
      </c>
      <c r="J47" s="346">
        <v>220.55799999999999</v>
      </c>
      <c r="K47" s="346">
        <v>5928.0720000000001</v>
      </c>
      <c r="L47" s="468">
        <v>9.48</v>
      </c>
      <c r="M47" s="472">
        <f t="shared" si="14"/>
        <v>561.98122560000002</v>
      </c>
      <c r="N47" s="473">
        <f t="shared" si="15"/>
        <v>6148.63</v>
      </c>
      <c r="P47" s="609" t="s">
        <v>288</v>
      </c>
      <c r="Q47" s="346">
        <v>1377.17</v>
      </c>
      <c r="R47" s="346">
        <v>40045.226000000002</v>
      </c>
      <c r="S47" s="468">
        <v>7.34</v>
      </c>
      <c r="T47" s="472">
        <f t="shared" si="16"/>
        <v>2939.3195884000002</v>
      </c>
      <c r="U47" s="473">
        <f t="shared" si="17"/>
        <v>41422.396000000001</v>
      </c>
    </row>
    <row r="48" spans="2:21" x14ac:dyDescent="0.2">
      <c r="B48" s="608" t="s">
        <v>305</v>
      </c>
      <c r="C48" s="346">
        <v>0.63409000000000004</v>
      </c>
      <c r="D48" s="346">
        <v>23.61544</v>
      </c>
      <c r="E48" s="468">
        <v>17.37</v>
      </c>
      <c r="F48" s="472">
        <f t="shared" si="12"/>
        <v>4.102001928</v>
      </c>
      <c r="G48" s="473">
        <f t="shared" si="13"/>
        <v>24.24953</v>
      </c>
      <c r="I48" s="608" t="s">
        <v>305</v>
      </c>
      <c r="J48" s="346">
        <v>51.53</v>
      </c>
      <c r="K48" s="346">
        <v>3994.7280000000001</v>
      </c>
      <c r="L48" s="468">
        <v>14.1</v>
      </c>
      <c r="M48" s="472">
        <f t="shared" si="14"/>
        <v>563.25664800000004</v>
      </c>
      <c r="N48" s="473">
        <f t="shared" si="15"/>
        <v>4046.2580000000003</v>
      </c>
      <c r="P48" s="608" t="s">
        <v>305</v>
      </c>
      <c r="Q48" s="346">
        <v>712.92</v>
      </c>
      <c r="R48" s="346">
        <v>20975.358</v>
      </c>
      <c r="S48" s="468">
        <v>11.96</v>
      </c>
      <c r="T48" s="472">
        <f t="shared" si="16"/>
        <v>2508.6528168</v>
      </c>
      <c r="U48" s="473">
        <f t="shared" si="17"/>
        <v>21688.277999999998</v>
      </c>
    </row>
    <row r="49" spans="2:21" x14ac:dyDescent="0.2">
      <c r="B49" s="609" t="s">
        <v>289</v>
      </c>
      <c r="C49" s="346">
        <v>0.50458000000000003</v>
      </c>
      <c r="D49" s="346">
        <v>29.561889999999998</v>
      </c>
      <c r="E49" s="468">
        <v>2.68</v>
      </c>
      <c r="F49" s="472">
        <f t="shared" si="12"/>
        <v>0.79225865200000001</v>
      </c>
      <c r="G49" s="473">
        <f t="shared" si="13"/>
        <v>30.066469999999999</v>
      </c>
      <c r="I49" s="609" t="s">
        <v>289</v>
      </c>
      <c r="J49" s="346">
        <v>56.539000000000001</v>
      </c>
      <c r="K49" s="346">
        <v>5432.7039999999997</v>
      </c>
      <c r="L49" s="468">
        <v>14.36</v>
      </c>
      <c r="M49" s="472">
        <f t="shared" si="14"/>
        <v>780.13629439999988</v>
      </c>
      <c r="N49" s="473">
        <f t="shared" si="15"/>
        <v>5489.2429999999995</v>
      </c>
      <c r="P49" s="609" t="s">
        <v>289</v>
      </c>
      <c r="Q49" s="346">
        <v>462.83800000000002</v>
      </c>
      <c r="R49" s="346">
        <v>27508.71</v>
      </c>
      <c r="S49" s="468">
        <v>7.28</v>
      </c>
      <c r="T49" s="472">
        <f t="shared" si="16"/>
        <v>2002.634088</v>
      </c>
      <c r="U49" s="473">
        <f t="shared" si="17"/>
        <v>27971.547999999999</v>
      </c>
    </row>
    <row r="50" spans="2:21" x14ac:dyDescent="0.2">
      <c r="B50" s="608" t="s">
        <v>306</v>
      </c>
      <c r="C50" s="346">
        <v>2.83935</v>
      </c>
      <c r="D50" s="346">
        <v>83.496759999999995</v>
      </c>
      <c r="E50" s="468">
        <v>3.14</v>
      </c>
      <c r="F50" s="472">
        <f t="shared" si="12"/>
        <v>2.6217982639999997</v>
      </c>
      <c r="G50" s="473">
        <f t="shared" si="13"/>
        <v>86.336109999999991</v>
      </c>
      <c r="I50" s="608" t="s">
        <v>306</v>
      </c>
      <c r="J50" s="346">
        <v>358.00900000000001</v>
      </c>
      <c r="K50" s="346">
        <v>16863.766</v>
      </c>
      <c r="L50" s="468">
        <v>4.92</v>
      </c>
      <c r="M50" s="472">
        <f t="shared" si="14"/>
        <v>829.69728720000001</v>
      </c>
      <c r="N50" s="473">
        <f t="shared" si="15"/>
        <v>17221.775000000001</v>
      </c>
      <c r="P50" s="608" t="s">
        <v>306</v>
      </c>
      <c r="Q50" s="346">
        <v>3903.6309999999999</v>
      </c>
      <c r="R50" s="346">
        <v>121344.743</v>
      </c>
      <c r="S50" s="468">
        <v>4.88</v>
      </c>
      <c r="T50" s="472">
        <f t="shared" si="16"/>
        <v>5921.6234583999994</v>
      </c>
      <c r="U50" s="473">
        <f t="shared" si="17"/>
        <v>125248.374</v>
      </c>
    </row>
    <row r="51" spans="2:21" x14ac:dyDescent="0.2">
      <c r="B51" s="609" t="s">
        <v>290</v>
      </c>
      <c r="C51" s="346">
        <v>5.6926099999999993</v>
      </c>
      <c r="D51" s="346">
        <v>33.064999999999998</v>
      </c>
      <c r="E51" s="468">
        <v>2.74</v>
      </c>
      <c r="F51" s="472">
        <f t="shared" si="12"/>
        <v>0.90598100000000004</v>
      </c>
      <c r="G51" s="473">
        <f t="shared" si="13"/>
        <v>38.75761</v>
      </c>
      <c r="I51" s="609" t="s">
        <v>290</v>
      </c>
      <c r="J51" s="346">
        <v>784.07899999999995</v>
      </c>
      <c r="K51" s="346">
        <v>6620.7129999999997</v>
      </c>
      <c r="L51" s="468">
        <v>7.47</v>
      </c>
      <c r="M51" s="472">
        <f t="shared" si="14"/>
        <v>494.56726109999994</v>
      </c>
      <c r="N51" s="473">
        <f t="shared" si="15"/>
        <v>7404.7919999999995</v>
      </c>
      <c r="P51" s="609" t="s">
        <v>290</v>
      </c>
      <c r="Q51" s="346">
        <v>7589.9960000000001</v>
      </c>
      <c r="R51" s="346">
        <v>38591.752999999997</v>
      </c>
      <c r="S51" s="468">
        <v>6.45</v>
      </c>
      <c r="T51" s="472">
        <f t="shared" si="16"/>
        <v>2489.1680685000001</v>
      </c>
      <c r="U51" s="473">
        <f t="shared" si="17"/>
        <v>46181.748999999996</v>
      </c>
    </row>
    <row r="52" spans="2:21" x14ac:dyDescent="0.2">
      <c r="B52" s="608" t="s">
        <v>291</v>
      </c>
      <c r="C52" s="346">
        <v>2.5495999999999999</v>
      </c>
      <c r="D52" s="346">
        <v>36.332360000000001</v>
      </c>
      <c r="E52" s="468">
        <v>4.5199999999999996</v>
      </c>
      <c r="F52" s="472">
        <f t="shared" si="12"/>
        <v>1.6422226719999999</v>
      </c>
      <c r="G52" s="473">
        <f t="shared" si="13"/>
        <v>38.881959999999999</v>
      </c>
      <c r="I52" s="608" t="s">
        <v>291</v>
      </c>
      <c r="J52" s="346">
        <v>120.61</v>
      </c>
      <c r="K52" s="346">
        <v>5436.1059999999998</v>
      </c>
      <c r="L52" s="468">
        <v>7.43</v>
      </c>
      <c r="M52" s="472">
        <f t="shared" si="14"/>
        <v>403.9026758</v>
      </c>
      <c r="N52" s="473">
        <f t="shared" si="15"/>
        <v>5556.7159999999994</v>
      </c>
      <c r="P52" s="608" t="s">
        <v>291</v>
      </c>
      <c r="Q52" s="346">
        <v>2677.2739999999999</v>
      </c>
      <c r="R52" s="346">
        <v>47697.063000000002</v>
      </c>
      <c r="S52" s="468">
        <v>7.43</v>
      </c>
      <c r="T52" s="472">
        <f t="shared" si="16"/>
        <v>3543.8917809</v>
      </c>
      <c r="U52" s="473">
        <f t="shared" si="17"/>
        <v>50374.337</v>
      </c>
    </row>
    <row r="53" spans="2:21" x14ac:dyDescent="0.2">
      <c r="B53" s="609" t="s">
        <v>292</v>
      </c>
      <c r="C53" s="346">
        <v>13.469959999999999</v>
      </c>
      <c r="D53" s="346">
        <v>79.923190000000005</v>
      </c>
      <c r="E53" s="468">
        <v>1.91</v>
      </c>
      <c r="F53" s="472">
        <f t="shared" si="12"/>
        <v>1.526532929</v>
      </c>
      <c r="G53" s="473">
        <f t="shared" si="13"/>
        <v>93.393150000000006</v>
      </c>
      <c r="I53" s="609" t="s">
        <v>292</v>
      </c>
      <c r="J53" s="346">
        <v>3557.924</v>
      </c>
      <c r="K53" s="346">
        <v>18296.802</v>
      </c>
      <c r="L53" s="468">
        <v>3.74</v>
      </c>
      <c r="M53" s="472">
        <f t="shared" si="14"/>
        <v>684.30039480000005</v>
      </c>
      <c r="N53" s="473">
        <f t="shared" si="15"/>
        <v>21854.725999999999</v>
      </c>
      <c r="P53" s="609" t="s">
        <v>292</v>
      </c>
      <c r="Q53" s="346">
        <v>12595.567999999999</v>
      </c>
      <c r="R53" s="346">
        <v>96279.448000000004</v>
      </c>
      <c r="S53" s="468">
        <v>3.61</v>
      </c>
      <c r="T53" s="472">
        <f t="shared" si="16"/>
        <v>3475.6880728000001</v>
      </c>
      <c r="U53" s="473">
        <f t="shared" si="17"/>
        <v>108875.016</v>
      </c>
    </row>
    <row r="54" spans="2:21" x14ac:dyDescent="0.2">
      <c r="B54" s="608" t="s">
        <v>293</v>
      </c>
      <c r="C54" s="346">
        <v>1.42235</v>
      </c>
      <c r="D54" s="346">
        <v>72.163589999999999</v>
      </c>
      <c r="E54" s="468">
        <v>1.51</v>
      </c>
      <c r="F54" s="472">
        <f t="shared" si="12"/>
        <v>1.0896702089999999</v>
      </c>
      <c r="G54" s="473">
        <f t="shared" si="13"/>
        <v>73.585939999999994</v>
      </c>
      <c r="I54" s="608" t="s">
        <v>293</v>
      </c>
      <c r="J54" s="346">
        <v>219.81800000000001</v>
      </c>
      <c r="K54" s="346">
        <v>16471.534</v>
      </c>
      <c r="L54" s="468">
        <v>3.95</v>
      </c>
      <c r="M54" s="472">
        <f t="shared" si="14"/>
        <v>650.62559299999998</v>
      </c>
      <c r="N54" s="473">
        <f t="shared" si="15"/>
        <v>16691.351999999999</v>
      </c>
      <c r="P54" s="608" t="s">
        <v>293</v>
      </c>
      <c r="Q54" s="346">
        <v>1660.3109999999999</v>
      </c>
      <c r="R54" s="346">
        <v>81289.407999999996</v>
      </c>
      <c r="S54" s="468">
        <v>3.99</v>
      </c>
      <c r="T54" s="472">
        <f t="shared" si="16"/>
        <v>3243.4473791999999</v>
      </c>
      <c r="U54" s="473">
        <f t="shared" si="17"/>
        <v>82949.718999999997</v>
      </c>
    </row>
    <row r="55" spans="2:21" x14ac:dyDescent="0.2">
      <c r="B55" s="609" t="s">
        <v>294</v>
      </c>
      <c r="C55" s="346">
        <v>4.7088700000000001</v>
      </c>
      <c r="D55" s="346">
        <v>75.695740000000001</v>
      </c>
      <c r="E55" s="468">
        <v>2.08</v>
      </c>
      <c r="F55" s="472">
        <f t="shared" si="12"/>
        <v>1.5744713920000002</v>
      </c>
      <c r="G55" s="473">
        <f t="shared" si="13"/>
        <v>80.404610000000005</v>
      </c>
      <c r="I55" s="609" t="s">
        <v>294</v>
      </c>
      <c r="J55" s="346">
        <v>776.69600000000003</v>
      </c>
      <c r="K55" s="346">
        <v>17087.502</v>
      </c>
      <c r="L55" s="468">
        <v>5.19</v>
      </c>
      <c r="M55" s="472">
        <f t="shared" si="14"/>
        <v>886.84135380000009</v>
      </c>
      <c r="N55" s="473">
        <f t="shared" si="15"/>
        <v>17864.198</v>
      </c>
      <c r="P55" s="609" t="s">
        <v>294</v>
      </c>
      <c r="Q55" s="346">
        <v>3998.9029999999998</v>
      </c>
      <c r="R55" s="346">
        <v>86019.127999999997</v>
      </c>
      <c r="S55" s="468">
        <v>4.0599999999999996</v>
      </c>
      <c r="T55" s="472">
        <f t="shared" si="16"/>
        <v>3492.3765967999998</v>
      </c>
      <c r="U55" s="473">
        <f t="shared" si="17"/>
        <v>90018.031000000003</v>
      </c>
    </row>
    <row r="56" spans="2:21" x14ac:dyDescent="0.2">
      <c r="B56" s="608" t="s">
        <v>295</v>
      </c>
      <c r="C56" s="346">
        <v>7.87758</v>
      </c>
      <c r="D56" s="346">
        <v>93.086910000000003</v>
      </c>
      <c r="E56" s="468">
        <v>1.87</v>
      </c>
      <c r="F56" s="472">
        <f t="shared" si="12"/>
        <v>1.740725217</v>
      </c>
      <c r="G56" s="473">
        <f t="shared" si="13"/>
        <v>100.96449</v>
      </c>
      <c r="I56" s="608" t="s">
        <v>295</v>
      </c>
      <c r="J56" s="346">
        <v>1104.704</v>
      </c>
      <c r="K56" s="346">
        <v>21614.151999999998</v>
      </c>
      <c r="L56" s="468">
        <v>5.39</v>
      </c>
      <c r="M56" s="472">
        <f t="shared" si="14"/>
        <v>1165.0027928</v>
      </c>
      <c r="N56" s="473">
        <f t="shared" si="15"/>
        <v>22718.856</v>
      </c>
      <c r="P56" s="608" t="s">
        <v>295</v>
      </c>
      <c r="Q56" s="346">
        <v>9078.16</v>
      </c>
      <c r="R56" s="346">
        <v>109116.84299999999</v>
      </c>
      <c r="S56" s="468">
        <v>4.0199999999999996</v>
      </c>
      <c r="T56" s="472">
        <f t="shared" si="16"/>
        <v>4386.4970885999992</v>
      </c>
      <c r="U56" s="473">
        <f t="shared" si="17"/>
        <v>118195.003</v>
      </c>
    </row>
    <row r="57" spans="2:21" ht="13.5" thickBot="1" x14ac:dyDescent="0.25">
      <c r="B57" s="604" t="s">
        <v>296</v>
      </c>
      <c r="C57" s="352">
        <v>2.9271400000000001</v>
      </c>
      <c r="D57" s="352">
        <v>66.428780000000003</v>
      </c>
      <c r="E57" s="469">
        <v>2.23</v>
      </c>
      <c r="F57" s="474">
        <f t="shared" si="12"/>
        <v>1.4813617940000001</v>
      </c>
      <c r="G57" s="475">
        <f t="shared" si="13"/>
        <v>69.355919999999998</v>
      </c>
      <c r="I57" s="604" t="s">
        <v>296</v>
      </c>
      <c r="J57" s="352">
        <v>330.89800000000002</v>
      </c>
      <c r="K57" s="352">
        <v>11256.602000000001</v>
      </c>
      <c r="L57" s="469">
        <v>4.5599999999999996</v>
      </c>
      <c r="M57" s="474">
        <f t="shared" si="14"/>
        <v>513.30105119999996</v>
      </c>
      <c r="N57" s="475">
        <f t="shared" si="15"/>
        <v>11587.5</v>
      </c>
      <c r="P57" s="604" t="s">
        <v>296</v>
      </c>
      <c r="Q57" s="352">
        <v>2888.5230000000001</v>
      </c>
      <c r="R57" s="352">
        <v>75484.421000000002</v>
      </c>
      <c r="S57" s="469">
        <v>3.96</v>
      </c>
      <c r="T57" s="474">
        <f t="shared" si="16"/>
        <v>2989.1830716000004</v>
      </c>
      <c r="U57" s="475">
        <f t="shared" si="17"/>
        <v>78372.944000000003</v>
      </c>
    </row>
    <row r="60" spans="2:21" ht="38.25" customHeight="1" x14ac:dyDescent="0.2">
      <c r="B60" s="1024" t="s">
        <v>740</v>
      </c>
      <c r="C60" s="1025"/>
      <c r="D60" s="1025"/>
      <c r="E60" s="1025"/>
      <c r="F60" s="1025"/>
      <c r="G60" s="1025"/>
      <c r="I60" s="1024" t="s">
        <v>741</v>
      </c>
      <c r="J60" s="1025"/>
      <c r="K60" s="1025"/>
      <c r="L60" s="1025"/>
      <c r="M60" s="1025"/>
      <c r="N60" s="1025"/>
      <c r="P60" s="1024" t="s">
        <v>742</v>
      </c>
      <c r="Q60" s="1025"/>
      <c r="R60" s="1025"/>
      <c r="S60" s="1025"/>
      <c r="T60" s="1025"/>
      <c r="U60" s="1025"/>
    </row>
    <row r="61" spans="2:21" ht="13.5" thickBot="1" x14ac:dyDescent="0.25">
      <c r="B61" s="614"/>
      <c r="C61" s="614" t="s">
        <v>78</v>
      </c>
      <c r="D61" s="614" t="s">
        <v>309</v>
      </c>
      <c r="E61" s="619" t="s">
        <v>82</v>
      </c>
      <c r="F61" s="614" t="s">
        <v>310</v>
      </c>
      <c r="G61" s="614" t="s">
        <v>486</v>
      </c>
      <c r="I61" s="614"/>
      <c r="J61" s="614" t="s">
        <v>78</v>
      </c>
      <c r="K61" s="614" t="s">
        <v>309</v>
      </c>
      <c r="L61" s="619" t="s">
        <v>82</v>
      </c>
      <c r="M61" s="614" t="s">
        <v>310</v>
      </c>
      <c r="N61" s="614" t="s">
        <v>486</v>
      </c>
      <c r="P61" s="614"/>
      <c r="Q61" s="614" t="s">
        <v>78</v>
      </c>
      <c r="R61" s="614" t="s">
        <v>309</v>
      </c>
      <c r="S61" s="619" t="s">
        <v>82</v>
      </c>
      <c r="T61" s="614" t="s">
        <v>310</v>
      </c>
      <c r="U61" s="614" t="s">
        <v>486</v>
      </c>
    </row>
    <row r="62" spans="2:21" x14ac:dyDescent="0.2">
      <c r="B62" s="612" t="s">
        <v>721</v>
      </c>
      <c r="C62" s="618">
        <v>15.691970000000001</v>
      </c>
      <c r="D62" s="618">
        <v>150.71477000000002</v>
      </c>
      <c r="E62" s="617">
        <v>2.5538579194905484</v>
      </c>
      <c r="F62" s="616">
        <f t="shared" ref="F62:F76" si="18">D62*E62/100</f>
        <v>3.8490410894869656</v>
      </c>
      <c r="G62" s="615">
        <f t="shared" ref="G62:G76" si="19">C62+D62</f>
        <v>166.40674000000001</v>
      </c>
      <c r="I62" s="612" t="s">
        <v>721</v>
      </c>
      <c r="J62" s="618">
        <v>3345.3009999999999</v>
      </c>
      <c r="K62" s="618">
        <v>50885.180999999997</v>
      </c>
      <c r="L62" s="617">
        <v>3.4947469097501185</v>
      </c>
      <c r="M62" s="616">
        <f t="shared" ref="M62:M76" si="20">K62*L62/100</f>
        <v>1778.3082905182541</v>
      </c>
      <c r="N62" s="615">
        <f t="shared" ref="N62:N76" si="21">J62+K62</f>
        <v>54230.481999999996</v>
      </c>
      <c r="P62" s="612" t="s">
        <v>721</v>
      </c>
      <c r="Q62" s="618">
        <v>16920.057000000001</v>
      </c>
      <c r="R62" s="618">
        <v>91445.638999999996</v>
      </c>
      <c r="S62" s="617">
        <v>3.4430090989665878</v>
      </c>
      <c r="T62" s="616">
        <f t="shared" ref="T62:T76" si="22">R62*S62/100</f>
        <v>3148.4816713781388</v>
      </c>
      <c r="U62" s="615">
        <f t="shared" ref="U62:U76" si="23">Q62+R62</f>
        <v>108365.696</v>
      </c>
    </row>
    <row r="63" spans="2:21" x14ac:dyDescent="0.2">
      <c r="B63" s="608" t="s">
        <v>286</v>
      </c>
      <c r="C63" s="346">
        <v>0.44222</v>
      </c>
      <c r="D63" s="346">
        <v>9.4887999999999995</v>
      </c>
      <c r="E63" s="468">
        <v>8.6999999999999993</v>
      </c>
      <c r="F63" s="472">
        <f t="shared" si="18"/>
        <v>0.82552559999999986</v>
      </c>
      <c r="G63" s="473">
        <f t="shared" si="19"/>
        <v>9.9310200000000002</v>
      </c>
      <c r="I63" s="608" t="s">
        <v>286</v>
      </c>
      <c r="J63" s="346">
        <v>111.29900000000001</v>
      </c>
      <c r="K63" s="346">
        <v>2526.846</v>
      </c>
      <c r="L63" s="468">
        <v>12.83</v>
      </c>
      <c r="M63" s="472">
        <f t="shared" si="20"/>
        <v>324.19434180000002</v>
      </c>
      <c r="N63" s="473">
        <f t="shared" si="21"/>
        <v>2638.145</v>
      </c>
      <c r="P63" s="608" t="s">
        <v>286</v>
      </c>
      <c r="Q63" s="346">
        <v>689.92499999999995</v>
      </c>
      <c r="R63" s="346">
        <v>5087.8100000000004</v>
      </c>
      <c r="S63" s="468">
        <v>11.94</v>
      </c>
      <c r="T63" s="472">
        <f t="shared" si="22"/>
        <v>607.4845140000001</v>
      </c>
      <c r="U63" s="473">
        <f t="shared" si="23"/>
        <v>5777.7350000000006</v>
      </c>
    </row>
    <row r="64" spans="2:21" x14ac:dyDescent="0.2">
      <c r="B64" s="609" t="s">
        <v>307</v>
      </c>
      <c r="C64" s="346">
        <v>0.30352999999999997</v>
      </c>
      <c r="D64" s="346">
        <v>15.61627</v>
      </c>
      <c r="E64" s="468">
        <v>7.07</v>
      </c>
      <c r="F64" s="472">
        <f t="shared" si="18"/>
        <v>1.104070289</v>
      </c>
      <c r="G64" s="473">
        <f t="shared" si="19"/>
        <v>15.9198</v>
      </c>
      <c r="I64" s="609" t="s">
        <v>307</v>
      </c>
      <c r="J64" s="346">
        <v>45.551000000000002</v>
      </c>
      <c r="K64" s="346">
        <v>6553.19</v>
      </c>
      <c r="L64" s="468">
        <v>10.53</v>
      </c>
      <c r="M64" s="472">
        <f t="shared" si="20"/>
        <v>690.05090699999982</v>
      </c>
      <c r="N64" s="473">
        <f t="shared" si="21"/>
        <v>6598.741</v>
      </c>
      <c r="P64" s="609" t="s">
        <v>307</v>
      </c>
      <c r="Q64" s="346">
        <v>241.339</v>
      </c>
      <c r="R64" s="346">
        <v>8403.4339999999993</v>
      </c>
      <c r="S64" s="468">
        <v>8.69</v>
      </c>
      <c r="T64" s="472">
        <f t="shared" si="22"/>
        <v>730.25841459999992</v>
      </c>
      <c r="U64" s="473">
        <f t="shared" si="23"/>
        <v>8644.7729999999992</v>
      </c>
    </row>
    <row r="65" spans="1:22" x14ac:dyDescent="0.2">
      <c r="B65" s="608" t="s">
        <v>287</v>
      </c>
      <c r="C65" s="346">
        <v>0.87666999999999995</v>
      </c>
      <c r="D65" s="346">
        <v>16.81296</v>
      </c>
      <c r="E65" s="468">
        <v>8.44</v>
      </c>
      <c r="F65" s="472">
        <f t="shared" si="18"/>
        <v>1.4190138239999999</v>
      </c>
      <c r="G65" s="473">
        <f t="shared" si="19"/>
        <v>17.689630000000001</v>
      </c>
      <c r="I65" s="608" t="s">
        <v>287</v>
      </c>
      <c r="J65" s="346">
        <v>143.93899999999999</v>
      </c>
      <c r="K65" s="346">
        <v>4861.3559999999998</v>
      </c>
      <c r="L65" s="468">
        <v>11.8</v>
      </c>
      <c r="M65" s="472">
        <f t="shared" si="20"/>
        <v>573.64000799999997</v>
      </c>
      <c r="N65" s="473">
        <f t="shared" si="21"/>
        <v>5005.2950000000001</v>
      </c>
      <c r="P65" s="608" t="s">
        <v>287</v>
      </c>
      <c r="Q65" s="346">
        <v>831.18100000000004</v>
      </c>
      <c r="R65" s="346">
        <v>10574.53</v>
      </c>
      <c r="S65" s="468">
        <v>11.61</v>
      </c>
      <c r="T65" s="472">
        <f t="shared" si="22"/>
        <v>1227.702933</v>
      </c>
      <c r="U65" s="473">
        <f t="shared" si="23"/>
        <v>11405.711000000001</v>
      </c>
    </row>
    <row r="66" spans="1:22" x14ac:dyDescent="0.2">
      <c r="B66" s="609" t="s">
        <v>288</v>
      </c>
      <c r="C66" s="346">
        <v>0.17448</v>
      </c>
      <c r="D66" s="346">
        <v>7.4666600000000001</v>
      </c>
      <c r="E66" s="468">
        <v>13.32</v>
      </c>
      <c r="F66" s="472">
        <f t="shared" si="18"/>
        <v>0.99455911200000002</v>
      </c>
      <c r="G66" s="473">
        <f t="shared" si="19"/>
        <v>7.64114</v>
      </c>
      <c r="I66" s="609" t="s">
        <v>288</v>
      </c>
      <c r="J66" s="346">
        <v>18.762</v>
      </c>
      <c r="K66" s="346">
        <v>1722.123</v>
      </c>
      <c r="L66" s="468">
        <v>20.440000000000001</v>
      </c>
      <c r="M66" s="472">
        <f t="shared" si="20"/>
        <v>352.00194119999998</v>
      </c>
      <c r="N66" s="473">
        <f t="shared" si="21"/>
        <v>1740.885</v>
      </c>
      <c r="P66" s="609" t="s">
        <v>288</v>
      </c>
      <c r="Q66" s="346">
        <v>149.98400000000001</v>
      </c>
      <c r="R66" s="346">
        <v>5276.433</v>
      </c>
      <c r="S66" s="468">
        <v>16.38</v>
      </c>
      <c r="T66" s="472">
        <f t="shared" si="22"/>
        <v>864.27972539999985</v>
      </c>
      <c r="U66" s="473">
        <f t="shared" si="23"/>
        <v>5426.4170000000004</v>
      </c>
    </row>
    <row r="67" spans="1:22" x14ac:dyDescent="0.2">
      <c r="B67" s="608" t="s">
        <v>305</v>
      </c>
      <c r="C67" s="346">
        <v>5.3190000000000001E-2</v>
      </c>
      <c r="D67" s="346">
        <v>3.8771300000000002</v>
      </c>
      <c r="E67" s="468">
        <v>23.41</v>
      </c>
      <c r="F67" s="472">
        <f t="shared" si="18"/>
        <v>0.90763613300000001</v>
      </c>
      <c r="G67" s="473">
        <f t="shared" si="19"/>
        <v>3.93032</v>
      </c>
      <c r="I67" s="608" t="s">
        <v>305</v>
      </c>
      <c r="J67" s="346">
        <v>11.15</v>
      </c>
      <c r="K67" s="346">
        <v>702.71400000000006</v>
      </c>
      <c r="L67" s="468">
        <v>25.05</v>
      </c>
      <c r="M67" s="472">
        <f t="shared" si="20"/>
        <v>176.02985700000002</v>
      </c>
      <c r="N67" s="473">
        <f t="shared" si="21"/>
        <v>713.86400000000003</v>
      </c>
      <c r="P67" s="608" t="s">
        <v>305</v>
      </c>
      <c r="Q67" s="346">
        <v>49.984999999999999</v>
      </c>
      <c r="R67" s="346">
        <v>3005.1529999999998</v>
      </c>
      <c r="S67" s="468">
        <v>21.52</v>
      </c>
      <c r="T67" s="472">
        <f t="shared" si="22"/>
        <v>646.70892559999993</v>
      </c>
      <c r="U67" s="473">
        <f t="shared" si="23"/>
        <v>3055.1379999999999</v>
      </c>
    </row>
    <row r="68" spans="1:22" x14ac:dyDescent="0.2">
      <c r="B68" s="609" t="s">
        <v>289</v>
      </c>
      <c r="C68" s="346">
        <v>4.9860000000000002E-2</v>
      </c>
      <c r="D68" s="346">
        <v>5.8685900000000002</v>
      </c>
      <c r="E68" s="468">
        <v>14.11</v>
      </c>
      <c r="F68" s="472">
        <f t="shared" si="18"/>
        <v>0.82805804900000002</v>
      </c>
      <c r="G68" s="473">
        <f t="shared" si="19"/>
        <v>5.91845</v>
      </c>
      <c r="I68" s="609" t="s">
        <v>289</v>
      </c>
      <c r="J68" s="346">
        <v>8.2620000000000005</v>
      </c>
      <c r="K68" s="346">
        <v>1858.7739999999999</v>
      </c>
      <c r="L68" s="468">
        <v>19.5</v>
      </c>
      <c r="M68" s="472">
        <f t="shared" si="20"/>
        <v>362.46093000000002</v>
      </c>
      <c r="N68" s="473">
        <f t="shared" si="21"/>
        <v>1867.0359999999998</v>
      </c>
      <c r="P68" s="609" t="s">
        <v>289</v>
      </c>
      <c r="Q68" s="346">
        <v>59.960999999999999</v>
      </c>
      <c r="R68" s="346">
        <v>3051.0219999999999</v>
      </c>
      <c r="S68" s="468">
        <v>17.07</v>
      </c>
      <c r="T68" s="472">
        <f t="shared" si="22"/>
        <v>520.80945540000005</v>
      </c>
      <c r="U68" s="473">
        <f t="shared" si="23"/>
        <v>3110.9829999999997</v>
      </c>
    </row>
    <row r="69" spans="1:22" x14ac:dyDescent="0.2">
      <c r="B69" s="608" t="s">
        <v>306</v>
      </c>
      <c r="C69" s="346">
        <v>0.45163999999999999</v>
      </c>
      <c r="D69" s="346">
        <v>16.569330000000001</v>
      </c>
      <c r="E69" s="468">
        <v>8.3800000000000008</v>
      </c>
      <c r="F69" s="472">
        <f t="shared" si="18"/>
        <v>1.388509854</v>
      </c>
      <c r="G69" s="473">
        <f t="shared" si="19"/>
        <v>17.020970000000002</v>
      </c>
      <c r="I69" s="608" t="s">
        <v>306</v>
      </c>
      <c r="J69" s="346">
        <v>70.594999999999999</v>
      </c>
      <c r="K69" s="346">
        <v>5688.6120000000001</v>
      </c>
      <c r="L69" s="468">
        <v>10.130000000000001</v>
      </c>
      <c r="M69" s="472">
        <f t="shared" si="20"/>
        <v>576.25639560000002</v>
      </c>
      <c r="N69" s="473">
        <f t="shared" si="21"/>
        <v>5759.2070000000003</v>
      </c>
      <c r="P69" s="608" t="s">
        <v>306</v>
      </c>
      <c r="Q69" s="346">
        <v>647.80100000000004</v>
      </c>
      <c r="R69" s="346">
        <v>9747.1540000000005</v>
      </c>
      <c r="S69" s="468">
        <v>10.18</v>
      </c>
      <c r="T69" s="472">
        <f t="shared" si="22"/>
        <v>992.26027720000002</v>
      </c>
      <c r="U69" s="473">
        <f t="shared" si="23"/>
        <v>10394.955</v>
      </c>
    </row>
    <row r="70" spans="1:22" x14ac:dyDescent="0.2">
      <c r="B70" s="609" t="s">
        <v>290</v>
      </c>
      <c r="C70" s="346">
        <v>2.8511700000000002</v>
      </c>
      <c r="D70" s="346">
        <v>4.6802999999999999</v>
      </c>
      <c r="E70" s="468">
        <v>11.86</v>
      </c>
      <c r="F70" s="472">
        <f t="shared" si="18"/>
        <v>0.55508357999999991</v>
      </c>
      <c r="G70" s="473">
        <f t="shared" si="19"/>
        <v>7.5314700000000006</v>
      </c>
      <c r="I70" s="609" t="s">
        <v>290</v>
      </c>
      <c r="J70" s="346">
        <v>464.238</v>
      </c>
      <c r="K70" s="346">
        <v>1220.462</v>
      </c>
      <c r="L70" s="468">
        <v>15.39</v>
      </c>
      <c r="M70" s="472">
        <f t="shared" si="20"/>
        <v>187.82910179999999</v>
      </c>
      <c r="N70" s="473">
        <f t="shared" si="21"/>
        <v>1684.7</v>
      </c>
      <c r="P70" s="609" t="s">
        <v>290</v>
      </c>
      <c r="Q70" s="346">
        <v>4049.8879999999999</v>
      </c>
      <c r="R70" s="346">
        <v>4660.0330000000004</v>
      </c>
      <c r="S70" s="468">
        <v>17.100000000000001</v>
      </c>
      <c r="T70" s="472">
        <f t="shared" si="22"/>
        <v>796.86564300000009</v>
      </c>
      <c r="U70" s="473">
        <f t="shared" si="23"/>
        <v>8709.9210000000003</v>
      </c>
    </row>
    <row r="71" spans="1:22" x14ac:dyDescent="0.2">
      <c r="B71" s="608" t="s">
        <v>291</v>
      </c>
      <c r="C71" s="346">
        <v>8.022E-2</v>
      </c>
      <c r="D71" s="346">
        <v>5.0153400000000001</v>
      </c>
      <c r="E71" s="468">
        <v>17.18</v>
      </c>
      <c r="F71" s="472">
        <f t="shared" si="18"/>
        <v>0.86163541199999993</v>
      </c>
      <c r="G71" s="473">
        <f t="shared" si="19"/>
        <v>5.0955599999999999</v>
      </c>
      <c r="I71" s="608" t="s">
        <v>291</v>
      </c>
      <c r="J71" s="346">
        <v>9.4160000000000004</v>
      </c>
      <c r="K71" s="346">
        <v>1181.8150000000001</v>
      </c>
      <c r="L71" s="468">
        <v>22.5</v>
      </c>
      <c r="M71" s="472">
        <f t="shared" si="20"/>
        <v>265.90837500000004</v>
      </c>
      <c r="N71" s="473">
        <f t="shared" si="21"/>
        <v>1191.231</v>
      </c>
      <c r="P71" s="608" t="s">
        <v>291</v>
      </c>
      <c r="Q71" s="346">
        <v>56.975000000000001</v>
      </c>
      <c r="R71" s="346">
        <v>3187.1930000000002</v>
      </c>
      <c r="S71" s="468">
        <v>18.39</v>
      </c>
      <c r="T71" s="472">
        <f t="shared" si="22"/>
        <v>586.12479270000006</v>
      </c>
      <c r="U71" s="473">
        <f t="shared" si="23"/>
        <v>3244.1680000000001</v>
      </c>
    </row>
    <row r="72" spans="1:22" x14ac:dyDescent="0.2">
      <c r="A72" s="468"/>
      <c r="B72" s="609" t="s">
        <v>292</v>
      </c>
      <c r="C72" s="346">
        <v>5.36287</v>
      </c>
      <c r="D72" s="346">
        <v>14.03899</v>
      </c>
      <c r="E72" s="468">
        <v>6.43</v>
      </c>
      <c r="F72" s="472">
        <f t="shared" si="18"/>
        <v>0.90270705699999998</v>
      </c>
      <c r="G72" s="473">
        <f t="shared" si="19"/>
        <v>19.401859999999999</v>
      </c>
      <c r="I72" s="609" t="s">
        <v>292</v>
      </c>
      <c r="J72" s="346">
        <v>1663.5640000000001</v>
      </c>
      <c r="K72" s="346">
        <v>6146.5060000000003</v>
      </c>
      <c r="L72" s="468">
        <v>8.7200000000000006</v>
      </c>
      <c r="M72" s="472">
        <f t="shared" si="20"/>
        <v>535.97532320000005</v>
      </c>
      <c r="N72" s="473">
        <f t="shared" si="21"/>
        <v>7810.0700000000006</v>
      </c>
      <c r="P72" s="609" t="s">
        <v>292</v>
      </c>
      <c r="Q72" s="346">
        <v>4901.0240000000003</v>
      </c>
      <c r="R72" s="346">
        <v>6730.5429999999997</v>
      </c>
      <c r="S72" s="468">
        <v>8.59</v>
      </c>
      <c r="T72" s="472">
        <f t="shared" si="22"/>
        <v>578.15364369999998</v>
      </c>
      <c r="U72" s="473">
        <f t="shared" si="23"/>
        <v>11631.566999999999</v>
      </c>
    </row>
    <row r="73" spans="1:22" x14ac:dyDescent="0.2">
      <c r="A73" s="468"/>
      <c r="B73" s="608" t="s">
        <v>293</v>
      </c>
      <c r="C73" s="346">
        <v>0.44812000000000002</v>
      </c>
      <c r="D73" s="346">
        <v>11.128360000000001</v>
      </c>
      <c r="E73" s="468">
        <v>7.78</v>
      </c>
      <c r="F73" s="472">
        <f t="shared" si="18"/>
        <v>0.86578640800000006</v>
      </c>
      <c r="G73" s="473">
        <f t="shared" si="19"/>
        <v>11.57648</v>
      </c>
      <c r="I73" s="608" t="s">
        <v>293</v>
      </c>
      <c r="J73" s="346">
        <v>83.831000000000003</v>
      </c>
      <c r="K73" s="346">
        <v>3949.58</v>
      </c>
      <c r="L73" s="468">
        <v>10.29</v>
      </c>
      <c r="M73" s="472">
        <f t="shared" si="20"/>
        <v>406.41178199999996</v>
      </c>
      <c r="N73" s="473">
        <f t="shared" si="21"/>
        <v>4033.4110000000001</v>
      </c>
      <c r="P73" s="608" t="s">
        <v>293</v>
      </c>
      <c r="Q73" s="346">
        <v>357.8</v>
      </c>
      <c r="R73" s="346">
        <v>7248.0349999999999</v>
      </c>
      <c r="S73" s="468">
        <v>13.23</v>
      </c>
      <c r="T73" s="472">
        <f t="shared" si="22"/>
        <v>958.91503049999994</v>
      </c>
      <c r="U73" s="473">
        <f t="shared" si="23"/>
        <v>7605.835</v>
      </c>
      <c r="V73" s="346"/>
    </row>
    <row r="74" spans="1:22" x14ac:dyDescent="0.2">
      <c r="B74" s="609" t="s">
        <v>294</v>
      </c>
      <c r="C74" s="346">
        <v>3.3516399999999997</v>
      </c>
      <c r="D74" s="346">
        <v>11.53</v>
      </c>
      <c r="E74" s="468">
        <v>7.67</v>
      </c>
      <c r="F74" s="472">
        <f t="shared" si="18"/>
        <v>0.88435099999999989</v>
      </c>
      <c r="G74" s="473">
        <f t="shared" si="19"/>
        <v>14.881639999999999</v>
      </c>
      <c r="H74" s="468"/>
      <c r="I74" s="609" t="s">
        <v>294</v>
      </c>
      <c r="J74" s="346">
        <v>119.658</v>
      </c>
      <c r="K74" s="346">
        <v>4621.2719999999999</v>
      </c>
      <c r="L74" s="468">
        <v>11.67</v>
      </c>
      <c r="M74" s="472">
        <f t="shared" si="20"/>
        <v>539.30244240000002</v>
      </c>
      <c r="N74" s="473">
        <f t="shared" si="21"/>
        <v>4740.93</v>
      </c>
      <c r="P74" s="609" t="s">
        <v>294</v>
      </c>
      <c r="Q74" s="346">
        <v>3647.098</v>
      </c>
      <c r="R74" s="346">
        <v>6868.2489999999998</v>
      </c>
      <c r="S74" s="468">
        <v>14.15</v>
      </c>
      <c r="T74" s="472">
        <f t="shared" si="22"/>
        <v>971.85723350000001</v>
      </c>
      <c r="U74" s="473">
        <f t="shared" si="23"/>
        <v>10515.347</v>
      </c>
      <c r="V74" s="346"/>
    </row>
    <row r="75" spans="1:22" x14ac:dyDescent="0.2">
      <c r="B75" s="608" t="s">
        <v>295</v>
      </c>
      <c r="C75" s="346">
        <v>0.83135000000000003</v>
      </c>
      <c r="D75" s="346">
        <v>17.8</v>
      </c>
      <c r="E75" s="468">
        <v>9.09</v>
      </c>
      <c r="F75" s="472">
        <f t="shared" si="18"/>
        <v>1.61802</v>
      </c>
      <c r="G75" s="473">
        <f t="shared" si="19"/>
        <v>18.631350000000001</v>
      </c>
      <c r="H75" s="468"/>
      <c r="I75" s="608" t="s">
        <v>295</v>
      </c>
      <c r="J75" s="346">
        <v>531.17899999999997</v>
      </c>
      <c r="K75" s="346">
        <v>7180.2640000000001</v>
      </c>
      <c r="L75" s="468">
        <v>11.45</v>
      </c>
      <c r="M75" s="472">
        <f t="shared" si="20"/>
        <v>822.14022799999987</v>
      </c>
      <c r="N75" s="473">
        <f t="shared" si="21"/>
        <v>7711.4430000000002</v>
      </c>
      <c r="P75" s="608" t="s">
        <v>295</v>
      </c>
      <c r="Q75" s="346">
        <v>799.14700000000005</v>
      </c>
      <c r="R75" s="346">
        <v>9697.2340000000004</v>
      </c>
      <c r="S75" s="468">
        <v>10.14</v>
      </c>
      <c r="T75" s="472">
        <f t="shared" si="22"/>
        <v>983.29952760000015</v>
      </c>
      <c r="U75" s="473">
        <f t="shared" si="23"/>
        <v>10496.381000000001</v>
      </c>
    </row>
    <row r="76" spans="1:22" ht="13.5" thickBot="1" x14ac:dyDescent="0.25">
      <c r="B76" s="604" t="s">
        <v>296</v>
      </c>
      <c r="C76" s="352">
        <v>0.41500999999999999</v>
      </c>
      <c r="D76" s="352">
        <v>10.818479999999999</v>
      </c>
      <c r="E76" s="469">
        <v>8.59</v>
      </c>
      <c r="F76" s="474">
        <f t="shared" si="18"/>
        <v>0.92930743199999999</v>
      </c>
      <c r="G76" s="475">
        <f t="shared" si="19"/>
        <v>11.23349</v>
      </c>
      <c r="I76" s="604" t="s">
        <v>296</v>
      </c>
      <c r="J76" s="352">
        <v>63.856999999999999</v>
      </c>
      <c r="K76" s="352">
        <v>2671.6669999999999</v>
      </c>
      <c r="L76" s="469">
        <v>12.33</v>
      </c>
      <c r="M76" s="474">
        <f t="shared" si="20"/>
        <v>329.41654109999996</v>
      </c>
      <c r="N76" s="475">
        <f t="shared" si="21"/>
        <v>2735.5239999999999</v>
      </c>
      <c r="P76" s="604" t="s">
        <v>296</v>
      </c>
      <c r="Q76" s="352">
        <v>437.94900000000001</v>
      </c>
      <c r="R76" s="352">
        <v>7908.8159999999998</v>
      </c>
      <c r="S76" s="469">
        <v>12.25</v>
      </c>
      <c r="T76" s="474">
        <f t="shared" si="22"/>
        <v>968.82996000000003</v>
      </c>
      <c r="U76" s="475">
        <f t="shared" si="23"/>
        <v>8346.7649999999994</v>
      </c>
    </row>
    <row r="79" spans="1:22" ht="29.25" customHeight="1" x14ac:dyDescent="0.2">
      <c r="B79" s="1024" t="s">
        <v>725</v>
      </c>
      <c r="C79" s="1025"/>
      <c r="D79" s="1025"/>
      <c r="E79" s="1025"/>
      <c r="F79" s="1025"/>
      <c r="G79" s="1025"/>
      <c r="I79" s="1024" t="s">
        <v>724</v>
      </c>
      <c r="J79" s="1025"/>
      <c r="K79" s="1025"/>
      <c r="L79" s="1025"/>
      <c r="M79" s="1025"/>
      <c r="N79" s="1025"/>
      <c r="P79" s="1024" t="s">
        <v>723</v>
      </c>
      <c r="Q79" s="1025"/>
      <c r="R79" s="1025"/>
      <c r="S79" s="1025"/>
      <c r="T79" s="1025"/>
      <c r="U79" s="1025"/>
    </row>
    <row r="80" spans="1:22" ht="39" thickBot="1" x14ac:dyDescent="0.25">
      <c r="B80" s="614"/>
      <c r="C80" s="614" t="s">
        <v>94</v>
      </c>
      <c r="D80" s="613" t="s">
        <v>381</v>
      </c>
      <c r="E80" s="614" t="s">
        <v>83</v>
      </c>
      <c r="F80" s="614"/>
      <c r="G80" s="613"/>
      <c r="I80" s="614"/>
      <c r="J80" s="614" t="s">
        <v>94</v>
      </c>
      <c r="K80" s="613" t="s">
        <v>381</v>
      </c>
      <c r="L80" s="614" t="s">
        <v>83</v>
      </c>
      <c r="M80" s="614"/>
      <c r="N80" s="613"/>
      <c r="P80" s="614"/>
      <c r="Q80" s="614" t="s">
        <v>94</v>
      </c>
      <c r="R80" s="613" t="s">
        <v>381</v>
      </c>
      <c r="S80" s="614" t="s">
        <v>83</v>
      </c>
      <c r="T80" s="614"/>
      <c r="U80" s="613"/>
    </row>
    <row r="81" spans="2:21" x14ac:dyDescent="0.2">
      <c r="B81" s="612" t="s">
        <v>721</v>
      </c>
      <c r="C81" s="611">
        <f>G62</f>
        <v>166.40674000000001</v>
      </c>
      <c r="D81" s="611">
        <f>G43-G62</f>
        <v>726.08481999999992</v>
      </c>
      <c r="E81" s="611">
        <f>G24</f>
        <v>305.06689</v>
      </c>
      <c r="F81" s="611"/>
      <c r="G81" s="610"/>
      <c r="I81" s="612" t="s">
        <v>721</v>
      </c>
      <c r="J81" s="611">
        <f>N62</f>
        <v>54230.481999999996</v>
      </c>
      <c r="K81" s="611">
        <f>N43-N62</f>
        <v>123711.61500000002</v>
      </c>
      <c r="L81" s="611">
        <f>N24</f>
        <v>89995.516000000003</v>
      </c>
      <c r="M81" s="611"/>
      <c r="N81" s="610"/>
      <c r="P81" s="612" t="s">
        <v>721</v>
      </c>
      <c r="Q81" s="611">
        <f>U62</f>
        <v>108365.696</v>
      </c>
      <c r="R81" s="611">
        <f>U43-U62</f>
        <v>933113.01</v>
      </c>
      <c r="S81" s="611">
        <f>U24</f>
        <v>305205.06699999998</v>
      </c>
      <c r="T81" s="611"/>
      <c r="U81" s="610"/>
    </row>
    <row r="82" spans="2:21" ht="15" customHeight="1" x14ac:dyDescent="0.2">
      <c r="B82" s="608" t="s">
        <v>286</v>
      </c>
      <c r="C82" s="606">
        <f t="shared" ref="C82:C95" si="24">G63</f>
        <v>9.9310200000000002</v>
      </c>
      <c r="D82" s="606">
        <f t="shared" ref="D82:D95" si="25">G44-G63</f>
        <v>34.917460000000005</v>
      </c>
      <c r="E82" s="607">
        <f t="shared" ref="E82:E95" si="26">G25</f>
        <v>31.27543</v>
      </c>
      <c r="F82" s="606"/>
      <c r="G82" s="605"/>
      <c r="I82" s="608" t="s">
        <v>286</v>
      </c>
      <c r="J82" s="606">
        <f t="shared" ref="J82:J95" si="27">N63</f>
        <v>2638.145</v>
      </c>
      <c r="K82" s="606">
        <f t="shared" ref="K82:K95" si="28">N44-N63</f>
        <v>5087.5760000000009</v>
      </c>
      <c r="L82" s="607">
        <f t="shared" ref="L82:L95" si="29">N25</f>
        <v>8838.6810000000005</v>
      </c>
      <c r="M82" s="606"/>
      <c r="N82" s="605"/>
      <c r="P82" s="608" t="s">
        <v>286</v>
      </c>
      <c r="Q82" s="606">
        <f t="shared" ref="Q82:Q95" si="30">U63</f>
        <v>5777.7350000000006</v>
      </c>
      <c r="R82" s="606">
        <f t="shared" ref="R82:R95" si="31">U44-U63</f>
        <v>43713.546999999999</v>
      </c>
      <c r="S82" s="607">
        <f t="shared" ref="S82:S95" si="32">U25</f>
        <v>39134.611000000004</v>
      </c>
      <c r="T82" s="606"/>
      <c r="U82" s="605"/>
    </row>
    <row r="83" spans="2:21" x14ac:dyDescent="0.2">
      <c r="B83" s="609" t="s">
        <v>307</v>
      </c>
      <c r="C83" s="606">
        <f t="shared" si="24"/>
        <v>15.9198</v>
      </c>
      <c r="D83" s="606">
        <f t="shared" si="25"/>
        <v>65.808850000000007</v>
      </c>
      <c r="E83" s="607">
        <f t="shared" si="26"/>
        <v>24.800020000000004</v>
      </c>
      <c r="F83" s="606"/>
      <c r="G83" s="605"/>
      <c r="I83" s="609" t="s">
        <v>307</v>
      </c>
      <c r="J83" s="606">
        <f t="shared" si="27"/>
        <v>6598.741</v>
      </c>
      <c r="K83" s="606">
        <f t="shared" si="28"/>
        <v>10852.379000000003</v>
      </c>
      <c r="L83" s="607">
        <f t="shared" si="29"/>
        <v>8251.4529999999995</v>
      </c>
      <c r="M83" s="606"/>
      <c r="N83" s="605"/>
      <c r="P83" s="609" t="s">
        <v>307</v>
      </c>
      <c r="Q83" s="606">
        <f t="shared" si="30"/>
        <v>8644.7729999999992</v>
      </c>
      <c r="R83" s="606">
        <f t="shared" si="31"/>
        <v>92391.395000000004</v>
      </c>
      <c r="S83" s="607">
        <f t="shared" si="32"/>
        <v>23115.441999999999</v>
      </c>
      <c r="T83" s="606"/>
      <c r="U83" s="605"/>
    </row>
    <row r="84" spans="2:21" x14ac:dyDescent="0.2">
      <c r="B84" s="608" t="s">
        <v>287</v>
      </c>
      <c r="C84" s="606">
        <f t="shared" si="24"/>
        <v>17.689630000000001</v>
      </c>
      <c r="D84" s="606">
        <f t="shared" si="25"/>
        <v>73.169330000000002</v>
      </c>
      <c r="E84" s="607">
        <f t="shared" si="26"/>
        <v>33.330150000000003</v>
      </c>
      <c r="F84" s="606"/>
      <c r="G84" s="605"/>
      <c r="I84" s="608" t="s">
        <v>287</v>
      </c>
      <c r="J84" s="606">
        <f t="shared" si="27"/>
        <v>5005.2950000000001</v>
      </c>
      <c r="K84" s="606">
        <f t="shared" si="28"/>
        <v>11175.914999999999</v>
      </c>
      <c r="L84" s="607">
        <f t="shared" si="29"/>
        <v>7462.2569999999996</v>
      </c>
      <c r="M84" s="606"/>
      <c r="N84" s="605"/>
      <c r="P84" s="608" t="s">
        <v>287</v>
      </c>
      <c r="Q84" s="606">
        <f t="shared" si="30"/>
        <v>11405.711000000001</v>
      </c>
      <c r="R84" s="606">
        <f t="shared" si="31"/>
        <v>88248.150000000009</v>
      </c>
      <c r="S84" s="607">
        <f t="shared" si="32"/>
        <v>29342.337</v>
      </c>
      <c r="T84" s="606"/>
      <c r="U84" s="605"/>
    </row>
    <row r="85" spans="2:21" x14ac:dyDescent="0.2">
      <c r="B85" s="609" t="s">
        <v>288</v>
      </c>
      <c r="C85" s="606">
        <f t="shared" si="24"/>
        <v>7.64114</v>
      </c>
      <c r="D85" s="606">
        <f t="shared" si="25"/>
        <v>31.41854</v>
      </c>
      <c r="E85" s="607">
        <f t="shared" si="26"/>
        <v>12.106770000000001</v>
      </c>
      <c r="F85" s="606"/>
      <c r="G85" s="605"/>
      <c r="I85" s="609" t="s">
        <v>288</v>
      </c>
      <c r="J85" s="606">
        <f t="shared" si="27"/>
        <v>1740.885</v>
      </c>
      <c r="K85" s="606">
        <f t="shared" si="28"/>
        <v>4407.7449999999999</v>
      </c>
      <c r="L85" s="607">
        <f t="shared" si="29"/>
        <v>3499.62</v>
      </c>
      <c r="M85" s="606"/>
      <c r="N85" s="605"/>
      <c r="P85" s="609" t="s">
        <v>288</v>
      </c>
      <c r="Q85" s="606">
        <f t="shared" si="30"/>
        <v>5426.4170000000004</v>
      </c>
      <c r="R85" s="606">
        <f t="shared" si="31"/>
        <v>35995.978999999999</v>
      </c>
      <c r="S85" s="607">
        <f t="shared" si="32"/>
        <v>9278.0509999999995</v>
      </c>
      <c r="T85" s="606"/>
      <c r="U85" s="605"/>
    </row>
    <row r="86" spans="2:21" x14ac:dyDescent="0.2">
      <c r="B86" s="608" t="s">
        <v>305</v>
      </c>
      <c r="C86" s="606">
        <f t="shared" si="24"/>
        <v>3.93032</v>
      </c>
      <c r="D86" s="606">
        <f t="shared" si="25"/>
        <v>20.319209999999998</v>
      </c>
      <c r="E86" s="607">
        <f t="shared" si="26"/>
        <v>2.6481899999999996</v>
      </c>
      <c r="F86" s="606"/>
      <c r="G86" s="605"/>
      <c r="I86" s="608" t="s">
        <v>305</v>
      </c>
      <c r="J86" s="606">
        <f t="shared" si="27"/>
        <v>713.86400000000003</v>
      </c>
      <c r="K86" s="606">
        <f t="shared" si="28"/>
        <v>3332.3940000000002</v>
      </c>
      <c r="L86" s="607">
        <f t="shared" si="29"/>
        <v>729.23399999999992</v>
      </c>
      <c r="M86" s="606"/>
      <c r="N86" s="605"/>
      <c r="P86" s="608" t="s">
        <v>305</v>
      </c>
      <c r="Q86" s="606">
        <f t="shared" si="30"/>
        <v>3055.1379999999999</v>
      </c>
      <c r="R86" s="606">
        <f t="shared" si="31"/>
        <v>18633.14</v>
      </c>
      <c r="S86" s="607">
        <f t="shared" si="32"/>
        <v>2143.7979999999998</v>
      </c>
      <c r="T86" s="606"/>
      <c r="U86" s="605"/>
    </row>
    <row r="87" spans="2:21" x14ac:dyDescent="0.2">
      <c r="B87" s="609" t="s">
        <v>289</v>
      </c>
      <c r="C87" s="606">
        <f t="shared" si="24"/>
        <v>5.91845</v>
      </c>
      <c r="D87" s="606">
        <f t="shared" si="25"/>
        <v>24.148019999999999</v>
      </c>
      <c r="E87" s="607">
        <f t="shared" si="26"/>
        <v>3.1194000000000002</v>
      </c>
      <c r="F87" s="606"/>
      <c r="G87" s="605"/>
      <c r="I87" s="609" t="s">
        <v>289</v>
      </c>
      <c r="J87" s="606">
        <f t="shared" si="27"/>
        <v>1867.0359999999998</v>
      </c>
      <c r="K87" s="606">
        <f t="shared" si="28"/>
        <v>3622.2069999999994</v>
      </c>
      <c r="L87" s="607">
        <f t="shared" si="29"/>
        <v>975.952</v>
      </c>
      <c r="M87" s="606"/>
      <c r="N87" s="605"/>
      <c r="P87" s="609" t="s">
        <v>289</v>
      </c>
      <c r="Q87" s="606">
        <f t="shared" si="30"/>
        <v>3110.9829999999997</v>
      </c>
      <c r="R87" s="606">
        <f t="shared" si="31"/>
        <v>24860.564999999999</v>
      </c>
      <c r="S87" s="607">
        <f t="shared" si="32"/>
        <v>2203.1640000000002</v>
      </c>
      <c r="T87" s="606"/>
      <c r="U87" s="605"/>
    </row>
    <row r="88" spans="2:21" x14ac:dyDescent="0.2">
      <c r="B88" s="608" t="s">
        <v>306</v>
      </c>
      <c r="C88" s="606">
        <f t="shared" si="24"/>
        <v>17.020970000000002</v>
      </c>
      <c r="D88" s="606">
        <f t="shared" si="25"/>
        <v>69.315139999999985</v>
      </c>
      <c r="E88" s="607">
        <f t="shared" si="26"/>
        <v>10.2445</v>
      </c>
      <c r="F88" s="606"/>
      <c r="G88" s="605"/>
      <c r="I88" s="608" t="s">
        <v>306</v>
      </c>
      <c r="J88" s="606">
        <f t="shared" si="27"/>
        <v>5759.2070000000003</v>
      </c>
      <c r="K88" s="606">
        <f t="shared" si="28"/>
        <v>11462.568000000001</v>
      </c>
      <c r="L88" s="607">
        <f t="shared" si="29"/>
        <v>3359.04</v>
      </c>
      <c r="M88" s="606"/>
      <c r="N88" s="605"/>
      <c r="P88" s="608" t="s">
        <v>306</v>
      </c>
      <c r="Q88" s="606">
        <f t="shared" si="30"/>
        <v>10394.955</v>
      </c>
      <c r="R88" s="606">
        <f t="shared" si="31"/>
        <v>114853.41899999999</v>
      </c>
      <c r="S88" s="607">
        <f t="shared" si="32"/>
        <v>9423.9589999999989</v>
      </c>
      <c r="T88" s="606"/>
      <c r="U88" s="605"/>
    </row>
    <row r="89" spans="2:21" x14ac:dyDescent="0.2">
      <c r="B89" s="609" t="s">
        <v>290</v>
      </c>
      <c r="C89" s="606">
        <f t="shared" si="24"/>
        <v>7.5314700000000006</v>
      </c>
      <c r="D89" s="606">
        <f t="shared" si="25"/>
        <v>31.226140000000001</v>
      </c>
      <c r="E89" s="607">
        <f t="shared" si="26"/>
        <v>8.10684</v>
      </c>
      <c r="F89" s="606"/>
      <c r="G89" s="605"/>
      <c r="I89" s="609" t="s">
        <v>290</v>
      </c>
      <c r="J89" s="606">
        <f t="shared" si="27"/>
        <v>1684.7</v>
      </c>
      <c r="K89" s="606">
        <f t="shared" si="28"/>
        <v>5720.0919999999996</v>
      </c>
      <c r="L89" s="607">
        <f t="shared" si="29"/>
        <v>1863.3899999999999</v>
      </c>
      <c r="M89" s="606"/>
      <c r="N89" s="605"/>
      <c r="P89" s="609" t="s">
        <v>290</v>
      </c>
      <c r="Q89" s="606">
        <f t="shared" si="30"/>
        <v>8709.9210000000003</v>
      </c>
      <c r="R89" s="606">
        <f t="shared" si="31"/>
        <v>37471.827999999994</v>
      </c>
      <c r="S89" s="607">
        <f t="shared" si="32"/>
        <v>6499.9409999999998</v>
      </c>
      <c r="T89" s="606"/>
      <c r="U89" s="605"/>
    </row>
    <row r="90" spans="2:21" x14ac:dyDescent="0.2">
      <c r="B90" s="608" t="s">
        <v>291</v>
      </c>
      <c r="C90" s="606">
        <f t="shared" si="24"/>
        <v>5.0955599999999999</v>
      </c>
      <c r="D90" s="606">
        <f t="shared" si="25"/>
        <v>33.7864</v>
      </c>
      <c r="E90" s="607">
        <f t="shared" si="26"/>
        <v>61.34901</v>
      </c>
      <c r="F90" s="606"/>
      <c r="G90" s="605"/>
      <c r="I90" s="608" t="s">
        <v>291</v>
      </c>
      <c r="J90" s="606">
        <f t="shared" si="27"/>
        <v>1191.231</v>
      </c>
      <c r="K90" s="606">
        <f t="shared" si="28"/>
        <v>4365.4849999999997</v>
      </c>
      <c r="L90" s="607">
        <f t="shared" si="29"/>
        <v>14821.967000000001</v>
      </c>
      <c r="M90" s="606"/>
      <c r="N90" s="605"/>
      <c r="P90" s="608" t="s">
        <v>291</v>
      </c>
      <c r="Q90" s="606">
        <f t="shared" si="30"/>
        <v>3244.1680000000001</v>
      </c>
      <c r="R90" s="606">
        <f t="shared" si="31"/>
        <v>47130.169000000002</v>
      </c>
      <c r="S90" s="607">
        <f t="shared" si="32"/>
        <v>86177.34</v>
      </c>
      <c r="T90" s="606"/>
      <c r="U90" s="605"/>
    </row>
    <row r="91" spans="2:21" x14ac:dyDescent="0.2">
      <c r="B91" s="609" t="s">
        <v>292</v>
      </c>
      <c r="C91" s="606">
        <f t="shared" si="24"/>
        <v>19.401859999999999</v>
      </c>
      <c r="D91" s="606">
        <f t="shared" si="25"/>
        <v>73.991290000000006</v>
      </c>
      <c r="E91" s="607">
        <f t="shared" si="26"/>
        <v>20.796909999999997</v>
      </c>
      <c r="F91" s="606"/>
      <c r="G91" s="605"/>
      <c r="I91" s="609" t="s">
        <v>292</v>
      </c>
      <c r="J91" s="606">
        <f t="shared" si="27"/>
        <v>7810.0700000000006</v>
      </c>
      <c r="K91" s="606">
        <f t="shared" si="28"/>
        <v>14044.655999999999</v>
      </c>
      <c r="L91" s="607">
        <f t="shared" si="29"/>
        <v>6896.2559999999994</v>
      </c>
      <c r="M91" s="606"/>
      <c r="N91" s="605"/>
      <c r="P91" s="609" t="s">
        <v>292</v>
      </c>
      <c r="Q91" s="606">
        <f t="shared" si="30"/>
        <v>11631.566999999999</v>
      </c>
      <c r="R91" s="606">
        <f t="shared" si="31"/>
        <v>97243.449000000008</v>
      </c>
      <c r="S91" s="607">
        <f t="shared" si="32"/>
        <v>18261.563999999998</v>
      </c>
      <c r="T91" s="606"/>
      <c r="U91" s="605"/>
    </row>
    <row r="92" spans="2:21" x14ac:dyDescent="0.2">
      <c r="B92" s="608" t="s">
        <v>293</v>
      </c>
      <c r="C92" s="606">
        <f t="shared" si="24"/>
        <v>11.57648</v>
      </c>
      <c r="D92" s="606">
        <f t="shared" si="25"/>
        <v>62.00945999999999</v>
      </c>
      <c r="E92" s="607">
        <f t="shared" si="26"/>
        <v>15.146039999999999</v>
      </c>
      <c r="F92" s="606"/>
      <c r="G92" s="605"/>
      <c r="I92" s="608" t="s">
        <v>293</v>
      </c>
      <c r="J92" s="606">
        <f t="shared" si="27"/>
        <v>4033.4110000000001</v>
      </c>
      <c r="K92" s="606">
        <f t="shared" si="28"/>
        <v>12657.940999999999</v>
      </c>
      <c r="L92" s="607">
        <f t="shared" si="29"/>
        <v>5408.4549999999999</v>
      </c>
      <c r="M92" s="606"/>
      <c r="N92" s="605"/>
      <c r="P92" s="608" t="s">
        <v>293</v>
      </c>
      <c r="Q92" s="606">
        <f t="shared" si="30"/>
        <v>7605.835</v>
      </c>
      <c r="R92" s="606">
        <f t="shared" si="31"/>
        <v>75343.883999999991</v>
      </c>
      <c r="S92" s="607">
        <f t="shared" si="32"/>
        <v>11210.630999999999</v>
      </c>
      <c r="T92" s="606"/>
      <c r="U92" s="605"/>
    </row>
    <row r="93" spans="2:21" x14ac:dyDescent="0.2">
      <c r="B93" s="609" t="s">
        <v>294</v>
      </c>
      <c r="C93" s="606">
        <f t="shared" si="24"/>
        <v>14.881639999999999</v>
      </c>
      <c r="D93" s="606">
        <f t="shared" si="25"/>
        <v>65.522970000000001</v>
      </c>
      <c r="E93" s="607">
        <f t="shared" si="26"/>
        <v>20.62396</v>
      </c>
      <c r="F93" s="606"/>
      <c r="G93" s="605"/>
      <c r="I93" s="609" t="s">
        <v>294</v>
      </c>
      <c r="J93" s="606">
        <f t="shared" si="27"/>
        <v>4740.93</v>
      </c>
      <c r="K93" s="606">
        <f t="shared" si="28"/>
        <v>13123.268</v>
      </c>
      <c r="L93" s="607">
        <f t="shared" si="29"/>
        <v>7739.9580000000005</v>
      </c>
      <c r="M93" s="606"/>
      <c r="N93" s="605"/>
      <c r="P93" s="609" t="s">
        <v>294</v>
      </c>
      <c r="Q93" s="606">
        <f t="shared" si="30"/>
        <v>10515.347</v>
      </c>
      <c r="R93" s="606">
        <f t="shared" si="31"/>
        <v>79502.684000000008</v>
      </c>
      <c r="S93" s="607">
        <f t="shared" si="32"/>
        <v>15237.153999999999</v>
      </c>
      <c r="T93" s="606"/>
      <c r="U93" s="605"/>
    </row>
    <row r="94" spans="2:21" x14ac:dyDescent="0.2">
      <c r="B94" s="608" t="s">
        <v>295</v>
      </c>
      <c r="C94" s="606">
        <f t="shared" si="24"/>
        <v>18.631350000000001</v>
      </c>
      <c r="D94" s="606">
        <f t="shared" si="25"/>
        <v>82.33314</v>
      </c>
      <c r="E94" s="607">
        <f t="shared" si="26"/>
        <v>30.078939999999999</v>
      </c>
      <c r="F94" s="606"/>
      <c r="G94" s="605"/>
      <c r="I94" s="608" t="s">
        <v>295</v>
      </c>
      <c r="J94" s="606">
        <f t="shared" si="27"/>
        <v>7711.4430000000002</v>
      </c>
      <c r="K94" s="606">
        <f t="shared" si="28"/>
        <v>15007.413</v>
      </c>
      <c r="L94" s="607">
        <f t="shared" si="29"/>
        <v>11764.850999999999</v>
      </c>
      <c r="M94" s="606"/>
      <c r="N94" s="605"/>
      <c r="P94" s="608" t="s">
        <v>295</v>
      </c>
      <c r="Q94" s="606">
        <f t="shared" si="30"/>
        <v>10496.381000000001</v>
      </c>
      <c r="R94" s="606">
        <f t="shared" si="31"/>
        <v>107698.622</v>
      </c>
      <c r="S94" s="607">
        <f t="shared" si="32"/>
        <v>21582.849000000002</v>
      </c>
      <c r="T94" s="606"/>
      <c r="U94" s="605"/>
    </row>
    <row r="95" spans="2:21" ht="13.5" thickBot="1" x14ac:dyDescent="0.25">
      <c r="B95" s="604" t="s">
        <v>296</v>
      </c>
      <c r="C95" s="602">
        <f t="shared" si="24"/>
        <v>11.23349</v>
      </c>
      <c r="D95" s="602">
        <f t="shared" si="25"/>
        <v>58.122429999999994</v>
      </c>
      <c r="E95" s="603">
        <f t="shared" si="26"/>
        <v>31.440729999999999</v>
      </c>
      <c r="F95" s="602"/>
      <c r="G95" s="601"/>
      <c r="I95" s="604" t="s">
        <v>296</v>
      </c>
      <c r="J95" s="602">
        <f t="shared" si="27"/>
        <v>2735.5239999999999</v>
      </c>
      <c r="K95" s="602">
        <f t="shared" si="28"/>
        <v>8851.9760000000006</v>
      </c>
      <c r="L95" s="603">
        <f t="shared" si="29"/>
        <v>8384.402</v>
      </c>
      <c r="M95" s="602"/>
      <c r="N95" s="601"/>
      <c r="P95" s="604" t="s">
        <v>296</v>
      </c>
      <c r="Q95" s="602">
        <f t="shared" si="30"/>
        <v>8346.7649999999994</v>
      </c>
      <c r="R95" s="602">
        <f t="shared" si="31"/>
        <v>70026.179000000004</v>
      </c>
      <c r="S95" s="603">
        <f t="shared" si="32"/>
        <v>31594.226000000002</v>
      </c>
      <c r="T95" s="602"/>
      <c r="U95" s="601"/>
    </row>
  </sheetData>
  <mergeCells count="15">
    <mergeCell ref="B3:G3"/>
    <mergeCell ref="I3:N3"/>
    <mergeCell ref="P3:U3"/>
    <mergeCell ref="B22:G22"/>
    <mergeCell ref="I22:N22"/>
    <mergeCell ref="P22:U22"/>
    <mergeCell ref="B79:G79"/>
    <mergeCell ref="I79:N79"/>
    <mergeCell ref="P79:U79"/>
    <mergeCell ref="B41:G41"/>
    <mergeCell ref="I41:N41"/>
    <mergeCell ref="P41:U41"/>
    <mergeCell ref="B60:G60"/>
    <mergeCell ref="I60:N60"/>
    <mergeCell ref="P60:U6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U39"/>
  <sheetViews>
    <sheetView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2" t="s">
        <v>657</v>
      </c>
      <c r="C3" s="1023"/>
      <c r="D3" s="1023"/>
      <c r="E3" s="1023"/>
      <c r="F3" s="1023"/>
      <c r="G3" s="1023"/>
      <c r="I3" s="1022" t="s">
        <v>659</v>
      </c>
      <c r="J3" s="1023"/>
      <c r="K3" s="1023"/>
      <c r="L3" s="1023"/>
      <c r="M3" s="1023"/>
      <c r="N3" s="1023"/>
      <c r="P3" s="1022" t="s">
        <v>658</v>
      </c>
      <c r="Q3" s="1023"/>
      <c r="R3" s="1023"/>
      <c r="S3" s="1023"/>
      <c r="T3" s="1023"/>
      <c r="U3" s="1023"/>
    </row>
    <row r="4" spans="2:21" ht="13.5" thickBot="1" x14ac:dyDescent="0.25">
      <c r="B4" s="444"/>
      <c r="C4" s="444" t="s">
        <v>78</v>
      </c>
      <c r="D4" s="444" t="s">
        <v>309</v>
      </c>
      <c r="E4" s="466" t="s">
        <v>82</v>
      </c>
      <c r="F4" s="444" t="s">
        <v>310</v>
      </c>
      <c r="G4" s="444" t="s">
        <v>486</v>
      </c>
      <c r="I4" s="444"/>
      <c r="J4" s="444" t="s">
        <v>78</v>
      </c>
      <c r="K4" s="444" t="s">
        <v>309</v>
      </c>
      <c r="L4" s="466" t="s">
        <v>82</v>
      </c>
      <c r="M4" s="444" t="s">
        <v>310</v>
      </c>
      <c r="N4" s="444" t="s">
        <v>486</v>
      </c>
      <c r="P4" s="444"/>
      <c r="Q4" s="444" t="s">
        <v>78</v>
      </c>
      <c r="R4" s="444" t="s">
        <v>309</v>
      </c>
      <c r="S4" s="466" t="s">
        <v>82</v>
      </c>
      <c r="T4" s="444" t="s">
        <v>310</v>
      </c>
      <c r="U4" s="444" t="s">
        <v>486</v>
      </c>
    </row>
    <row r="5" spans="2:21" x14ac:dyDescent="0.2">
      <c r="B5" s="347" t="s">
        <v>106</v>
      </c>
      <c r="C5" s="348">
        <v>181.2</v>
      </c>
      <c r="D5" s="23">
        <v>1016.37</v>
      </c>
      <c r="E5" s="467">
        <v>0.6</v>
      </c>
      <c r="F5" s="470">
        <f>C5*E5/100</f>
        <v>1.0871999999999999</v>
      </c>
      <c r="G5" s="471">
        <f>C5+D5</f>
        <v>1197.57</v>
      </c>
      <c r="I5" s="347" t="s">
        <v>106</v>
      </c>
      <c r="J5" s="348">
        <v>35136.934000000001</v>
      </c>
      <c r="K5" s="348">
        <v>232722.22099999999</v>
      </c>
      <c r="L5" s="467">
        <v>1.3249205983688215</v>
      </c>
      <c r="M5" s="470">
        <f>K5*L5/100</f>
        <v>3083.3846430104109</v>
      </c>
      <c r="N5" s="471">
        <f>J5+K5</f>
        <v>267859.15499999997</v>
      </c>
      <c r="P5" s="347" t="s">
        <v>106</v>
      </c>
      <c r="Q5" s="348">
        <v>207905.27900000001</v>
      </c>
      <c r="R5" s="348">
        <v>1139545.4410000001</v>
      </c>
      <c r="S5" s="467">
        <v>1.2114807274468335</v>
      </c>
      <c r="T5" s="470">
        <f>R5*S5/100</f>
        <v>13805.373398214029</v>
      </c>
      <c r="U5" s="471">
        <f>Q5+R5</f>
        <v>1347450.7200000002</v>
      </c>
    </row>
    <row r="6" spans="2:21" x14ac:dyDescent="0.2">
      <c r="B6" s="349" t="s">
        <v>92</v>
      </c>
      <c r="C6" s="346">
        <v>127.5</v>
      </c>
      <c r="D6" s="23">
        <v>177.55</v>
      </c>
      <c r="E6" s="468">
        <v>1.8</v>
      </c>
      <c r="F6" s="472">
        <f>C6*E6/100</f>
        <v>2.2949999999999999</v>
      </c>
      <c r="G6" s="473">
        <f t="shared" ref="G6:G8" si="0">C6+D6</f>
        <v>305.05</v>
      </c>
      <c r="I6" s="349" t="s">
        <v>92</v>
      </c>
      <c r="J6" s="346">
        <v>26375.967000000001</v>
      </c>
      <c r="K6" s="346">
        <v>63619.548999999999</v>
      </c>
      <c r="L6" s="468">
        <v>2.44942320338764</v>
      </c>
      <c r="M6" s="472">
        <f>K6*L6/100</f>
        <v>1558.3119950965693</v>
      </c>
      <c r="N6" s="473">
        <f>J6+K6</f>
        <v>89995.516000000003</v>
      </c>
      <c r="P6" s="349" t="s">
        <v>92</v>
      </c>
      <c r="Q6" s="346">
        <v>149700.77499999999</v>
      </c>
      <c r="R6" s="346">
        <v>155504.29199999999</v>
      </c>
      <c r="S6" s="468">
        <v>2.9411401766810834</v>
      </c>
      <c r="T6" s="472">
        <f>R6*S6/100</f>
        <v>4573.599208475468</v>
      </c>
      <c r="U6" s="473">
        <f>Q6+R6</f>
        <v>305205.06699999998</v>
      </c>
    </row>
    <row r="7" spans="2:21" x14ac:dyDescent="0.2">
      <c r="B7" s="350" t="s">
        <v>105</v>
      </c>
      <c r="C7" s="346">
        <v>53.7</v>
      </c>
      <c r="D7" s="23">
        <v>838.83</v>
      </c>
      <c r="E7" s="468">
        <v>0.8</v>
      </c>
      <c r="F7" s="472">
        <f>C7*E7/100</f>
        <v>0.42960000000000009</v>
      </c>
      <c r="G7" s="473">
        <f t="shared" si="0"/>
        <v>892.53000000000009</v>
      </c>
      <c r="I7" s="350" t="s">
        <v>105</v>
      </c>
      <c r="J7" s="346">
        <v>8760.9670000000006</v>
      </c>
      <c r="K7" s="346">
        <v>169181.13</v>
      </c>
      <c r="L7" s="468">
        <v>1.6188044985800498</v>
      </c>
      <c r="M7" s="472">
        <f>K7*L7/100</f>
        <v>2738.7117431885622</v>
      </c>
      <c r="N7" s="473">
        <f>J7+K7</f>
        <v>177942.09700000001</v>
      </c>
      <c r="P7" s="350" t="s">
        <v>105</v>
      </c>
      <c r="Q7" s="346">
        <v>58204.506999999998</v>
      </c>
      <c r="R7" s="346">
        <v>983274.19900000002</v>
      </c>
      <c r="S7" s="468">
        <v>1.365053762885452</v>
      </c>
      <c r="T7" s="472">
        <f>R7*S7/100</f>
        <v>13422.221452931286</v>
      </c>
      <c r="U7" s="473">
        <f>Q7+R7</f>
        <v>1041478.706</v>
      </c>
    </row>
    <row r="8" spans="2:21" ht="13.5" thickBot="1" x14ac:dyDescent="0.25">
      <c r="B8" s="351" t="s">
        <v>99</v>
      </c>
      <c r="C8" s="352">
        <v>0.8</v>
      </c>
      <c r="D8" s="23">
        <v>29.271480000000004</v>
      </c>
      <c r="E8" s="469">
        <v>7.1523689695188057</v>
      </c>
      <c r="F8" s="474">
        <f>C8*E8/100</f>
        <v>5.7218951756150452E-2</v>
      </c>
      <c r="G8" s="475">
        <f t="shared" si="0"/>
        <v>30.071480000000005</v>
      </c>
      <c r="I8" s="351" t="s">
        <v>99</v>
      </c>
      <c r="J8" s="595">
        <v>126.63800000000001</v>
      </c>
      <c r="K8" s="352">
        <v>7944.4719999999998</v>
      </c>
      <c r="L8" s="469">
        <v>8.6048188787624422</v>
      </c>
      <c r="M8" s="474">
        <f>K8*L8/100</f>
        <v>683.60742647399616</v>
      </c>
      <c r="N8" s="475">
        <f>J8+K8</f>
        <v>8071.11</v>
      </c>
      <c r="P8" s="351" t="s">
        <v>99</v>
      </c>
      <c r="Q8" s="352">
        <v>1347.2370000000001</v>
      </c>
      <c r="R8" s="352">
        <v>44683.402999999998</v>
      </c>
      <c r="S8" s="469">
        <v>10.125367505067075</v>
      </c>
      <c r="T8" s="474">
        <f>R8*S8/100</f>
        <v>4524.358767520167</v>
      </c>
      <c r="U8" s="475">
        <f>Q8+R8</f>
        <v>46030.64</v>
      </c>
    </row>
    <row r="9" spans="2:21" x14ac:dyDescent="0.2">
      <c r="D9" s="596"/>
      <c r="J9" s="596"/>
    </row>
    <row r="11" spans="2:21" ht="38.25" customHeight="1" x14ac:dyDescent="0.2">
      <c r="B11" s="1022" t="s">
        <v>474</v>
      </c>
      <c r="C11" s="1023"/>
      <c r="D11" s="1023"/>
      <c r="E11" s="1023"/>
      <c r="F11" s="1023"/>
      <c r="G11" s="1023"/>
      <c r="I11" s="1022" t="s">
        <v>487</v>
      </c>
      <c r="J11" s="1023"/>
      <c r="K11" s="1023"/>
      <c r="L11" s="1023"/>
      <c r="M11" s="1023"/>
      <c r="N11" s="1023"/>
      <c r="P11" s="1022" t="s">
        <v>475</v>
      </c>
      <c r="Q11" s="1023"/>
      <c r="R11" s="1023"/>
      <c r="S11" s="1023"/>
      <c r="T11" s="1023"/>
      <c r="U11" s="1023"/>
    </row>
    <row r="12" spans="2:21" ht="13.5" thickBot="1" x14ac:dyDescent="0.25">
      <c r="B12" s="444"/>
      <c r="C12" s="444" t="s">
        <v>78</v>
      </c>
      <c r="D12" s="444" t="s">
        <v>309</v>
      </c>
      <c r="E12" s="466" t="s">
        <v>82</v>
      </c>
      <c r="F12" s="444" t="s">
        <v>310</v>
      </c>
      <c r="G12" s="444" t="s">
        <v>486</v>
      </c>
      <c r="I12" s="444"/>
      <c r="J12" s="444" t="s">
        <v>78</v>
      </c>
      <c r="K12" s="444" t="s">
        <v>309</v>
      </c>
      <c r="L12" s="466" t="s">
        <v>82</v>
      </c>
      <c r="M12" s="444" t="s">
        <v>310</v>
      </c>
      <c r="N12" s="444" t="s">
        <v>486</v>
      </c>
      <c r="P12" s="444"/>
      <c r="Q12" s="444" t="s">
        <v>78</v>
      </c>
      <c r="R12" s="444" t="s">
        <v>309</v>
      </c>
      <c r="S12" s="466" t="s">
        <v>82</v>
      </c>
      <c r="T12" s="444" t="s">
        <v>310</v>
      </c>
      <c r="U12" s="444" t="s">
        <v>486</v>
      </c>
    </row>
    <row r="13" spans="2:21" x14ac:dyDescent="0.2">
      <c r="B13" s="347" t="s">
        <v>119</v>
      </c>
      <c r="C13" s="563">
        <v>7.5310000000000002E-2</v>
      </c>
      <c r="D13" s="348">
        <v>2.1047800000000003</v>
      </c>
      <c r="E13" s="467">
        <v>22.06374116965296</v>
      </c>
      <c r="F13" s="470">
        <f t="shared" ref="F13:F19" si="1">D13*E13/100</f>
        <v>0.46439321139062167</v>
      </c>
      <c r="G13" s="471">
        <f t="shared" ref="G13:G19" si="2">C13+D13</f>
        <v>2.1800900000000003</v>
      </c>
      <c r="I13" s="347" t="s">
        <v>119</v>
      </c>
      <c r="J13" s="348">
        <v>0</v>
      </c>
      <c r="K13" s="348">
        <v>0.14624999999999999</v>
      </c>
      <c r="L13" s="467">
        <v>54.59</v>
      </c>
      <c r="M13" s="470">
        <f t="shared" ref="M13:M19" si="3">K13*L13/100</f>
        <v>7.9837875000000003E-2</v>
      </c>
      <c r="N13" s="471">
        <f t="shared" ref="N13:N19" si="4">J13+K13</f>
        <v>0.14624999999999999</v>
      </c>
      <c r="P13" s="347" t="s">
        <v>119</v>
      </c>
      <c r="Q13" s="348">
        <v>12.141</v>
      </c>
      <c r="R13" s="348">
        <v>0</v>
      </c>
      <c r="S13" s="467">
        <v>0</v>
      </c>
      <c r="T13" s="470">
        <f t="shared" ref="T13:T19" si="5">R13*S13/100</f>
        <v>0</v>
      </c>
      <c r="U13" s="471">
        <f t="shared" ref="U13:U19" si="6">Q13+R13</f>
        <v>12.141</v>
      </c>
    </row>
    <row r="14" spans="2:21" x14ac:dyDescent="0.2">
      <c r="B14" s="349" t="s">
        <v>120</v>
      </c>
      <c r="C14" s="563">
        <v>9.4189999999999996E-2</v>
      </c>
      <c r="D14" s="346">
        <v>2.7436500000000001</v>
      </c>
      <c r="E14" s="468">
        <v>15.374024941473262</v>
      </c>
      <c r="F14" s="472">
        <f t="shared" si="1"/>
        <v>0.42180943530673121</v>
      </c>
      <c r="G14" s="473">
        <f t="shared" si="2"/>
        <v>2.8378399999999999</v>
      </c>
      <c r="I14" s="349" t="s">
        <v>120</v>
      </c>
      <c r="J14" s="346">
        <v>1.036</v>
      </c>
      <c r="K14" s="346">
        <v>157.37589000000003</v>
      </c>
      <c r="L14" s="468">
        <v>28.133452059846594</v>
      </c>
      <c r="M14" s="472">
        <f t="shared" si="3"/>
        <v>44.275270566906919</v>
      </c>
      <c r="N14" s="473">
        <f t="shared" si="4"/>
        <v>158.41189000000003</v>
      </c>
      <c r="P14" s="349" t="s">
        <v>120</v>
      </c>
      <c r="Q14" s="346">
        <v>231.268</v>
      </c>
      <c r="R14" s="346">
        <v>7579.8090000000002</v>
      </c>
      <c r="S14" s="468">
        <v>17.268599733140128</v>
      </c>
      <c r="T14" s="472">
        <f t="shared" si="5"/>
        <v>1308.9268767465314</v>
      </c>
      <c r="U14" s="473">
        <f t="shared" si="6"/>
        <v>7811.0770000000002</v>
      </c>
    </row>
    <row r="15" spans="2:21" x14ac:dyDescent="0.2">
      <c r="B15" s="350" t="s">
        <v>121</v>
      </c>
      <c r="C15" s="563">
        <v>0.16263</v>
      </c>
      <c r="D15" s="346">
        <v>9.8006099999999989</v>
      </c>
      <c r="E15" s="468">
        <v>11.395228275248465</v>
      </c>
      <c r="F15" s="472">
        <f t="shared" si="1"/>
        <v>1.1168018818668286</v>
      </c>
      <c r="G15" s="473">
        <f t="shared" si="2"/>
        <v>9.963239999999999</v>
      </c>
      <c r="I15" s="350" t="s">
        <v>121</v>
      </c>
      <c r="J15" s="346">
        <v>10.099</v>
      </c>
      <c r="K15" s="346">
        <v>1930.2500400000001</v>
      </c>
      <c r="L15" s="468">
        <v>15.789494228792242</v>
      </c>
      <c r="M15" s="472">
        <f t="shared" si="3"/>
        <v>304.77671866705992</v>
      </c>
      <c r="N15" s="473">
        <f t="shared" si="4"/>
        <v>1940.3490400000001</v>
      </c>
      <c r="P15" s="350" t="s">
        <v>121</v>
      </c>
      <c r="Q15" s="346">
        <v>641.56399999999996</v>
      </c>
      <c r="R15" s="346">
        <v>22981.14</v>
      </c>
      <c r="S15" s="468">
        <v>15.139977281288864</v>
      </c>
      <c r="T15" s="472">
        <f t="shared" si="5"/>
        <v>3479.339374981188</v>
      </c>
      <c r="U15" s="473">
        <f t="shared" si="6"/>
        <v>23622.703999999998</v>
      </c>
    </row>
    <row r="16" spans="2:21" x14ac:dyDescent="0.2">
      <c r="B16" s="350" t="s">
        <v>122</v>
      </c>
      <c r="C16" s="563">
        <v>0.17271000000000003</v>
      </c>
      <c r="D16" s="346">
        <v>5.0425099999999992</v>
      </c>
      <c r="E16" s="468">
        <v>13.804539601951893</v>
      </c>
      <c r="F16" s="472">
        <f t="shared" si="1"/>
        <v>0.69609528988238423</v>
      </c>
      <c r="G16" s="473">
        <f t="shared" si="2"/>
        <v>5.2152199999999995</v>
      </c>
      <c r="I16" s="350" t="s">
        <v>122</v>
      </c>
      <c r="J16" s="346">
        <v>26.523000000000003</v>
      </c>
      <c r="K16" s="346">
        <v>1622.9231499999999</v>
      </c>
      <c r="L16" s="468">
        <v>17.591071325015594</v>
      </c>
      <c r="M16" s="472">
        <f t="shared" si="3"/>
        <v>285.48956886668981</v>
      </c>
      <c r="N16" s="473">
        <f t="shared" si="4"/>
        <v>1649.4461499999998</v>
      </c>
      <c r="P16" s="350" t="s">
        <v>122</v>
      </c>
      <c r="Q16" s="346">
        <v>239.00200000000001</v>
      </c>
      <c r="R16" s="346">
        <v>4243.62</v>
      </c>
      <c r="S16" s="468">
        <v>15.096944514863649</v>
      </c>
      <c r="T16" s="472">
        <f t="shared" si="5"/>
        <v>640.65695682165676</v>
      </c>
      <c r="U16" s="473">
        <f t="shared" si="6"/>
        <v>4482.6220000000003</v>
      </c>
    </row>
    <row r="17" spans="2:21" x14ac:dyDescent="0.2">
      <c r="B17" s="350" t="s">
        <v>123</v>
      </c>
      <c r="C17" s="563">
        <v>0.12427999999999999</v>
      </c>
      <c r="D17" s="346">
        <v>4.2275500000000008</v>
      </c>
      <c r="E17" s="468">
        <v>18.390820775403441</v>
      </c>
      <c r="F17" s="472">
        <f t="shared" si="1"/>
        <v>0.77748114369056831</v>
      </c>
      <c r="G17" s="473">
        <f t="shared" si="2"/>
        <v>4.3518300000000005</v>
      </c>
      <c r="I17" s="350" t="s">
        <v>123</v>
      </c>
      <c r="J17" s="346">
        <v>29.518000000000001</v>
      </c>
      <c r="K17" s="346">
        <v>1668.7123200000001</v>
      </c>
      <c r="L17" s="468">
        <v>17.00617273005572</v>
      </c>
      <c r="M17" s="472">
        <f t="shared" si="3"/>
        <v>283.7840995069202</v>
      </c>
      <c r="N17" s="473">
        <f t="shared" si="4"/>
        <v>1698.2303200000001</v>
      </c>
      <c r="P17" s="350" t="s">
        <v>123</v>
      </c>
      <c r="Q17" s="346">
        <v>111.93600000000001</v>
      </c>
      <c r="R17" s="346">
        <v>3635.4459999999999</v>
      </c>
      <c r="S17" s="468">
        <v>30.907034464068321</v>
      </c>
      <c r="T17" s="472">
        <f t="shared" si="5"/>
        <v>1123.6085481425932</v>
      </c>
      <c r="U17" s="473">
        <f t="shared" si="6"/>
        <v>3747.3820000000001</v>
      </c>
    </row>
    <row r="18" spans="2:21" x14ac:dyDescent="0.2">
      <c r="B18" s="350" t="s">
        <v>124</v>
      </c>
      <c r="C18" s="563">
        <v>0.10303000000000001</v>
      </c>
      <c r="D18" s="346">
        <v>3.0848199999999997</v>
      </c>
      <c r="E18" s="468">
        <v>18.919480936395512</v>
      </c>
      <c r="F18" s="472">
        <f t="shared" si="1"/>
        <v>0.58363193182211592</v>
      </c>
      <c r="G18" s="473">
        <f t="shared" si="2"/>
        <v>3.1878499999999996</v>
      </c>
      <c r="I18" s="350" t="s">
        <v>124</v>
      </c>
      <c r="J18" s="346">
        <v>26.606000000000002</v>
      </c>
      <c r="K18" s="346">
        <v>1116.5983700000002</v>
      </c>
      <c r="L18" s="468">
        <v>23.355454785206074</v>
      </c>
      <c r="M18" s="472">
        <f t="shared" si="3"/>
        <v>260.78662743769809</v>
      </c>
      <c r="N18" s="473">
        <f t="shared" si="4"/>
        <v>1143.2043700000002</v>
      </c>
      <c r="P18" s="350" t="s">
        <v>124</v>
      </c>
      <c r="Q18" s="346">
        <v>56.780999999999999</v>
      </c>
      <c r="R18" s="346">
        <v>3953.9270000000001</v>
      </c>
      <c r="S18" s="468">
        <v>41.001303742063747</v>
      </c>
      <c r="T18" s="472">
        <f t="shared" si="5"/>
        <v>1621.161619009469</v>
      </c>
      <c r="U18" s="473">
        <f t="shared" si="6"/>
        <v>4010.7080000000001</v>
      </c>
    </row>
    <row r="19" spans="2:21" ht="13.5" thickBot="1" x14ac:dyDescent="0.25">
      <c r="B19" s="351" t="s">
        <v>125</v>
      </c>
      <c r="C19" s="563">
        <v>0.10076000000000002</v>
      </c>
      <c r="D19" s="352">
        <v>2.26756</v>
      </c>
      <c r="E19" s="469">
        <v>34.781732380634182</v>
      </c>
      <c r="F19" s="474">
        <f t="shared" si="1"/>
        <v>0.78869665077030848</v>
      </c>
      <c r="G19" s="475">
        <f t="shared" si="2"/>
        <v>2.3683200000000002</v>
      </c>
      <c r="I19" s="351" t="s">
        <v>125</v>
      </c>
      <c r="J19" s="352">
        <v>32.856999999999999</v>
      </c>
      <c r="K19" s="352">
        <v>915.42360999999994</v>
      </c>
      <c r="L19" s="469">
        <v>33.269890908784582</v>
      </c>
      <c r="M19" s="474">
        <f t="shared" si="3"/>
        <v>304.56043640025763</v>
      </c>
      <c r="N19" s="475">
        <f t="shared" si="4"/>
        <v>948.28060999999991</v>
      </c>
      <c r="P19" s="351" t="s">
        <v>125</v>
      </c>
      <c r="Q19" s="352">
        <v>50.233999999999995</v>
      </c>
      <c r="R19" s="352">
        <v>2289.462</v>
      </c>
      <c r="S19" s="469">
        <v>45.436676648173716</v>
      </c>
      <c r="T19" s="474">
        <f t="shared" si="5"/>
        <v>1040.2554459228108</v>
      </c>
      <c r="U19" s="475">
        <f t="shared" si="6"/>
        <v>2339.6959999999999</v>
      </c>
    </row>
    <row r="20" spans="2:21" x14ac:dyDescent="0.2">
      <c r="C20" s="596"/>
    </row>
    <row r="22" spans="2:21" ht="38.25" customHeight="1" x14ac:dyDescent="0.2">
      <c r="B22" s="1022" t="s">
        <v>473</v>
      </c>
      <c r="C22" s="1023"/>
      <c r="D22" s="1023"/>
      <c r="E22" s="1023"/>
      <c r="F22" s="1023"/>
      <c r="G22" s="1023"/>
      <c r="I22" s="1022" t="s">
        <v>673</v>
      </c>
      <c r="J22" s="1023"/>
      <c r="K22" s="1023"/>
      <c r="L22" s="1023"/>
      <c r="M22" s="1023"/>
      <c r="N22" s="1023"/>
      <c r="P22" s="1022" t="s">
        <v>476</v>
      </c>
      <c r="Q22" s="1023"/>
      <c r="R22" s="1023"/>
      <c r="S22" s="1023"/>
      <c r="T22" s="1023"/>
      <c r="U22" s="1023"/>
    </row>
    <row r="23" spans="2:21" ht="13.5" thickBot="1" x14ac:dyDescent="0.25">
      <c r="B23" s="444"/>
      <c r="C23" s="444" t="s">
        <v>78</v>
      </c>
      <c r="D23" s="444" t="s">
        <v>309</v>
      </c>
      <c r="E23" s="466" t="s">
        <v>82</v>
      </c>
      <c r="F23" s="444" t="s">
        <v>310</v>
      </c>
      <c r="G23" s="444" t="s">
        <v>486</v>
      </c>
      <c r="I23" s="444"/>
      <c r="J23" s="444" t="s">
        <v>78</v>
      </c>
      <c r="K23" s="444" t="s">
        <v>309</v>
      </c>
      <c r="L23" s="466" t="s">
        <v>82</v>
      </c>
      <c r="M23" s="444" t="s">
        <v>310</v>
      </c>
      <c r="N23" s="444" t="s">
        <v>486</v>
      </c>
      <c r="P23" s="444"/>
      <c r="Q23" s="444" t="s">
        <v>78</v>
      </c>
      <c r="R23" s="444" t="s">
        <v>309</v>
      </c>
      <c r="S23" s="466" t="s">
        <v>82</v>
      </c>
      <c r="T23" s="444" t="s">
        <v>310</v>
      </c>
      <c r="U23" s="444" t="s">
        <v>486</v>
      </c>
    </row>
    <row r="24" spans="2:21" x14ac:dyDescent="0.2">
      <c r="B24" s="347" t="s">
        <v>127</v>
      </c>
      <c r="C24" s="348">
        <v>0.23355999999999999</v>
      </c>
      <c r="D24" s="348">
        <v>3.9387800000000004</v>
      </c>
      <c r="E24" s="467">
        <v>16.373520448873396</v>
      </c>
      <c r="F24" s="470">
        <f t="shared" ref="F24:F32" si="7">D24*E24/100</f>
        <v>0.6449169487361357</v>
      </c>
      <c r="G24" s="471">
        <f t="shared" ref="G24:G32" si="8">C24+D24</f>
        <v>4.1723400000000002</v>
      </c>
      <c r="I24" s="347" t="s">
        <v>127</v>
      </c>
      <c r="J24" s="348">
        <v>2.6859999999999999</v>
      </c>
      <c r="K24" s="348">
        <v>46.295999999999999</v>
      </c>
      <c r="L24" s="467">
        <v>39.654035313322872</v>
      </c>
      <c r="M24" s="470">
        <f t="shared" ref="M24:M32" si="9">K24*L24/100</f>
        <v>18.358232188655958</v>
      </c>
      <c r="N24" s="471">
        <f t="shared" ref="N24:N32" si="10">J24+K24</f>
        <v>48.981999999999999</v>
      </c>
      <c r="P24" s="347" t="s">
        <v>127</v>
      </c>
      <c r="Q24" s="348">
        <v>531.86300000000006</v>
      </c>
      <c r="R24" s="348">
        <v>13362.86</v>
      </c>
      <c r="S24" s="467">
        <v>11.172646611169833</v>
      </c>
      <c r="T24" s="470">
        <f t="shared" ref="T24:T32" si="11">R24*S24/100</f>
        <v>1492.9851249453693</v>
      </c>
      <c r="U24" s="471">
        <f t="shared" ref="U24:U32" si="12">Q24+R24</f>
        <v>13894.723</v>
      </c>
    </row>
    <row r="25" spans="2:21" x14ac:dyDescent="0.2">
      <c r="B25" s="349" t="s">
        <v>128</v>
      </c>
      <c r="C25" s="346">
        <v>0.10169999999999998</v>
      </c>
      <c r="D25" s="346">
        <v>2.6866799999999995</v>
      </c>
      <c r="E25" s="468">
        <v>19.572075999259116</v>
      </c>
      <c r="F25" s="472">
        <f t="shared" si="7"/>
        <v>0.52583905145689469</v>
      </c>
      <c r="G25" s="473">
        <f t="shared" si="8"/>
        <v>2.7883799999999996</v>
      </c>
      <c r="I25" s="349" t="s">
        <v>128</v>
      </c>
      <c r="J25" s="346">
        <v>8.1300000000000008</v>
      </c>
      <c r="K25" s="346">
        <v>239.327</v>
      </c>
      <c r="L25" s="468">
        <v>8.4208294756929565</v>
      </c>
      <c r="M25" s="472">
        <f t="shared" si="9"/>
        <v>20.15331855929168</v>
      </c>
      <c r="N25" s="473">
        <f t="shared" si="10"/>
        <v>247.45699999999999</v>
      </c>
      <c r="P25" s="349" t="s">
        <v>128</v>
      </c>
      <c r="Q25" s="346">
        <v>431.27199999999999</v>
      </c>
      <c r="R25" s="346">
        <v>15763.936</v>
      </c>
      <c r="S25" s="468">
        <v>10.582555893648788</v>
      </c>
      <c r="T25" s="472">
        <f t="shared" si="11"/>
        <v>1668.2273382390229</v>
      </c>
      <c r="U25" s="473">
        <f t="shared" si="12"/>
        <v>16195.208000000001</v>
      </c>
    </row>
    <row r="26" spans="2:21" x14ac:dyDescent="0.2">
      <c r="B26" s="349" t="s">
        <v>129</v>
      </c>
      <c r="C26" s="346">
        <v>6.7330000000000015E-2</v>
      </c>
      <c r="D26" s="346">
        <v>4.8667000000000007</v>
      </c>
      <c r="E26" s="468">
        <v>16.318879298104662</v>
      </c>
      <c r="F26" s="472">
        <f t="shared" si="7"/>
        <v>0.79419089880085958</v>
      </c>
      <c r="G26" s="473">
        <f t="shared" si="8"/>
        <v>4.9340300000000008</v>
      </c>
      <c r="I26" s="349" t="s">
        <v>129</v>
      </c>
      <c r="J26" s="346">
        <v>8.2390000000000008</v>
      </c>
      <c r="K26" s="346">
        <v>793.572</v>
      </c>
      <c r="L26" s="468">
        <v>8.9593384204022524</v>
      </c>
      <c r="M26" s="472">
        <f t="shared" si="9"/>
        <v>71.09880108955457</v>
      </c>
      <c r="N26" s="473">
        <f t="shared" si="10"/>
        <v>801.81100000000004</v>
      </c>
      <c r="P26" s="349" t="s">
        <v>129</v>
      </c>
      <c r="Q26" s="346">
        <v>139.60499999999999</v>
      </c>
      <c r="R26" s="346">
        <v>14528.135</v>
      </c>
      <c r="S26" s="468">
        <v>9.416406278439414</v>
      </c>
      <c r="T26" s="472">
        <f t="shared" si="11"/>
        <v>1368.0282162801541</v>
      </c>
      <c r="U26" s="473">
        <f t="shared" si="12"/>
        <v>14667.74</v>
      </c>
    </row>
    <row r="27" spans="2:21" x14ac:dyDescent="0.2">
      <c r="B27" s="349" t="s">
        <v>130</v>
      </c>
      <c r="C27" s="346">
        <v>5.9789999999999996E-2</v>
      </c>
      <c r="D27" s="346">
        <v>4.2242099999999994</v>
      </c>
      <c r="E27" s="468">
        <v>14.735292946772461</v>
      </c>
      <c r="F27" s="472">
        <f t="shared" si="7"/>
        <v>0.62244971818685679</v>
      </c>
      <c r="G27" s="473">
        <f t="shared" si="8"/>
        <v>4.2839999999999989</v>
      </c>
      <c r="I27" s="349" t="s">
        <v>130</v>
      </c>
      <c r="J27" s="346">
        <v>12.055999999999999</v>
      </c>
      <c r="K27" s="346">
        <v>1200.3440000000001</v>
      </c>
      <c r="L27" s="468">
        <v>11.188706588614403</v>
      </c>
      <c r="M27" s="472">
        <f t="shared" si="9"/>
        <v>134.30296821403769</v>
      </c>
      <c r="N27" s="473">
        <f t="shared" si="10"/>
        <v>1212.4000000000001</v>
      </c>
      <c r="P27" s="349" t="s">
        <v>130</v>
      </c>
      <c r="Q27" s="346">
        <v>71.747</v>
      </c>
      <c r="R27" s="346">
        <v>8970.9940000000006</v>
      </c>
      <c r="S27" s="468">
        <v>10.593353943681691</v>
      </c>
      <c r="T27" s="472">
        <f t="shared" si="11"/>
        <v>950.32914668644798</v>
      </c>
      <c r="U27" s="473">
        <f t="shared" si="12"/>
        <v>9042.741</v>
      </c>
    </row>
    <row r="28" spans="2:21" x14ac:dyDescent="0.2">
      <c r="B28" s="349" t="s">
        <v>131</v>
      </c>
      <c r="C28" s="346">
        <v>0.16465000000000002</v>
      </c>
      <c r="D28" s="346">
        <v>4.1655500000000005</v>
      </c>
      <c r="E28" s="468">
        <v>15.515610366821308</v>
      </c>
      <c r="F28" s="472">
        <f t="shared" si="7"/>
        <v>0.6463105076351251</v>
      </c>
      <c r="G28" s="473">
        <f t="shared" si="8"/>
        <v>4.3302000000000005</v>
      </c>
      <c r="I28" s="349" t="s">
        <v>131</v>
      </c>
      <c r="J28" s="346">
        <v>40.307000000000002</v>
      </c>
      <c r="K28" s="346">
        <v>1275.367</v>
      </c>
      <c r="L28" s="468">
        <v>8.6757030784887714</v>
      </c>
      <c r="M28" s="472">
        <f t="shared" si="9"/>
        <v>110.64705408102989</v>
      </c>
      <c r="N28" s="473">
        <f t="shared" si="10"/>
        <v>1315.674</v>
      </c>
      <c r="P28" s="349" t="s">
        <v>131</v>
      </c>
      <c r="Q28" s="346">
        <v>118.127</v>
      </c>
      <c r="R28" s="346">
        <v>13944.032999999999</v>
      </c>
      <c r="S28" s="468">
        <v>7.8343038565651151</v>
      </c>
      <c r="T28" s="472">
        <f t="shared" si="11"/>
        <v>1092.4179150797122</v>
      </c>
      <c r="U28" s="473">
        <f t="shared" si="12"/>
        <v>14062.16</v>
      </c>
    </row>
    <row r="29" spans="2:21" x14ac:dyDescent="0.2">
      <c r="B29" s="349" t="s">
        <v>132</v>
      </c>
      <c r="C29" s="346">
        <v>0.11511999999999999</v>
      </c>
      <c r="D29" s="346">
        <v>2.9557699999999998</v>
      </c>
      <c r="E29" s="468">
        <v>17.921317535018062</v>
      </c>
      <c r="F29" s="472">
        <f t="shared" si="7"/>
        <v>0.52971292730480335</v>
      </c>
      <c r="G29" s="473">
        <f t="shared" si="8"/>
        <v>3.0708899999999999</v>
      </c>
      <c r="I29" s="349" t="s">
        <v>132</v>
      </c>
      <c r="J29" s="346">
        <v>31.457999999999998</v>
      </c>
      <c r="K29" s="346">
        <v>1170.3409999999999</v>
      </c>
      <c r="L29" s="468">
        <v>13.230958109302129</v>
      </c>
      <c r="M29" s="472">
        <f t="shared" si="9"/>
        <v>154.84732744598762</v>
      </c>
      <c r="N29" s="473">
        <f t="shared" si="10"/>
        <v>1201.799</v>
      </c>
      <c r="P29" s="349" t="s">
        <v>132</v>
      </c>
      <c r="Q29" s="346">
        <v>39.709000000000003</v>
      </c>
      <c r="R29" s="346">
        <v>6532.4579999999996</v>
      </c>
      <c r="S29" s="468">
        <v>9.8764344723380493</v>
      </c>
      <c r="T29" s="472">
        <f t="shared" si="11"/>
        <v>645.17393380300462</v>
      </c>
      <c r="U29" s="473">
        <f t="shared" si="12"/>
        <v>6572.1669999999995</v>
      </c>
    </row>
    <row r="30" spans="2:21" x14ac:dyDescent="0.2">
      <c r="B30" s="349" t="s">
        <v>133</v>
      </c>
      <c r="C30" s="346">
        <v>7.3200000000000001E-2</v>
      </c>
      <c r="D30" s="346">
        <v>3.0426300000000004</v>
      </c>
      <c r="E30" s="468">
        <v>16.383395275708207</v>
      </c>
      <c r="F30" s="472">
        <f t="shared" si="7"/>
        <v>0.49848609967728064</v>
      </c>
      <c r="G30" s="473">
        <f t="shared" si="8"/>
        <v>3.1158300000000003</v>
      </c>
      <c r="I30" s="349" t="s">
        <v>133</v>
      </c>
      <c r="J30" s="346">
        <v>19.645</v>
      </c>
      <c r="K30" s="346">
        <v>1532.404</v>
      </c>
      <c r="L30" s="468">
        <v>12.429279346640705</v>
      </c>
      <c r="M30" s="472">
        <f t="shared" si="9"/>
        <v>190.46677387909602</v>
      </c>
      <c r="N30" s="473">
        <f t="shared" si="10"/>
        <v>1552.049</v>
      </c>
      <c r="P30" s="349" t="s">
        <v>133</v>
      </c>
      <c r="Q30" s="346">
        <v>13.706</v>
      </c>
      <c r="R30" s="346">
        <v>8023.6409999999996</v>
      </c>
      <c r="S30" s="468">
        <v>6.245231578736635</v>
      </c>
      <c r="T30" s="472">
        <f t="shared" si="11"/>
        <v>501.09496149645986</v>
      </c>
      <c r="U30" s="473">
        <f t="shared" si="12"/>
        <v>8037.3469999999998</v>
      </c>
    </row>
    <row r="31" spans="2:21" x14ac:dyDescent="0.2">
      <c r="B31" s="349" t="s">
        <v>134</v>
      </c>
      <c r="C31" s="346">
        <v>1.4920000000000001E-2</v>
      </c>
      <c r="D31" s="346">
        <v>1.6923399999999997</v>
      </c>
      <c r="E31" s="468">
        <v>37.114815504963353</v>
      </c>
      <c r="F31" s="472">
        <f t="shared" si="7"/>
        <v>0.62810886871669669</v>
      </c>
      <c r="G31" s="473">
        <f t="shared" si="8"/>
        <v>1.7072599999999998</v>
      </c>
      <c r="I31" s="349" t="s">
        <v>134</v>
      </c>
      <c r="J31" s="346">
        <v>3.4009999999999998</v>
      </c>
      <c r="K31" s="346">
        <v>632.07299999999998</v>
      </c>
      <c r="L31" s="468">
        <v>28.905075046526353</v>
      </c>
      <c r="M31" s="472">
        <f t="shared" si="9"/>
        <v>182.70117499883051</v>
      </c>
      <c r="N31" s="473">
        <f t="shared" si="10"/>
        <v>635.47399999999993</v>
      </c>
      <c r="P31" s="349" t="s">
        <v>134</v>
      </c>
      <c r="Q31" s="346">
        <v>1.0980000000000001</v>
      </c>
      <c r="R31" s="346">
        <v>2535.4760000000001</v>
      </c>
      <c r="S31" s="468">
        <v>9.8230476174374708</v>
      </c>
      <c r="T31" s="472">
        <f t="shared" si="11"/>
        <v>249.0610148086989</v>
      </c>
      <c r="U31" s="473">
        <f t="shared" si="12"/>
        <v>2536.5740000000001</v>
      </c>
    </row>
    <row r="32" spans="2:21" ht="13.5" thickBot="1" x14ac:dyDescent="0.25">
      <c r="B32" s="351" t="s">
        <v>135</v>
      </c>
      <c r="C32" s="352">
        <v>2.6700000000000001E-3</v>
      </c>
      <c r="D32" s="352">
        <v>1.6988299999999998</v>
      </c>
      <c r="E32" s="469">
        <v>43.182080355992845</v>
      </c>
      <c r="F32" s="474">
        <f t="shared" si="7"/>
        <v>0.73359013571171316</v>
      </c>
      <c r="G32" s="475">
        <f t="shared" si="8"/>
        <v>1.7014999999999998</v>
      </c>
      <c r="I32" s="351" t="s">
        <v>135</v>
      </c>
      <c r="J32" s="352">
        <v>0.71699999999999997</v>
      </c>
      <c r="K32" s="352">
        <v>1054.749</v>
      </c>
      <c r="L32" s="469">
        <v>28.805306706827132</v>
      </c>
      <c r="M32" s="474">
        <f t="shared" si="9"/>
        <v>303.82368443719207</v>
      </c>
      <c r="N32" s="475">
        <f t="shared" si="10"/>
        <v>1055.4660000000001</v>
      </c>
      <c r="P32" s="351" t="s">
        <v>135</v>
      </c>
      <c r="Q32" s="352">
        <v>0.109</v>
      </c>
      <c r="R32" s="352">
        <v>915.86300000000006</v>
      </c>
      <c r="S32" s="469">
        <v>16.383876749514595</v>
      </c>
      <c r="T32" s="474">
        <f t="shared" si="11"/>
        <v>150.05386511440688</v>
      </c>
      <c r="U32" s="475">
        <f t="shared" si="12"/>
        <v>915.97200000000009</v>
      </c>
    </row>
    <row r="35" spans="2:21" ht="29.25" customHeight="1" x14ac:dyDescent="0.2">
      <c r="B35" s="1022" t="s">
        <v>382</v>
      </c>
      <c r="C35" s="1023"/>
      <c r="D35" s="1023"/>
      <c r="E35" s="1023"/>
      <c r="F35" s="1023"/>
      <c r="G35" s="1023"/>
      <c r="I35" s="1022" t="s">
        <v>383</v>
      </c>
      <c r="J35" s="1023"/>
      <c r="K35" s="1023"/>
      <c r="L35" s="1023"/>
      <c r="M35" s="1023"/>
      <c r="N35" s="1023"/>
      <c r="P35" s="1022" t="s">
        <v>384</v>
      </c>
      <c r="Q35" s="1023"/>
      <c r="R35" s="1023"/>
      <c r="S35" s="1023"/>
      <c r="T35" s="1023"/>
      <c r="U35" s="1023"/>
    </row>
    <row r="36" spans="2:21" ht="39" thickBot="1" x14ac:dyDescent="0.25">
      <c r="B36" s="444"/>
      <c r="C36" s="444"/>
      <c r="D36" s="444"/>
      <c r="E36" s="444"/>
      <c r="F36" s="444"/>
      <c r="G36" s="345" t="s">
        <v>477</v>
      </c>
      <c r="I36" s="444"/>
      <c r="J36" s="444"/>
      <c r="K36" s="444"/>
      <c r="L36" s="444"/>
      <c r="M36" s="444"/>
      <c r="N36" s="345" t="s">
        <v>488</v>
      </c>
      <c r="P36" s="444"/>
      <c r="Q36" s="444"/>
      <c r="R36" s="444"/>
      <c r="S36" s="444"/>
      <c r="T36" s="444"/>
      <c r="U36" s="345" t="s">
        <v>478</v>
      </c>
    </row>
    <row r="37" spans="2:21" x14ac:dyDescent="0.2">
      <c r="B37" s="347" t="s">
        <v>99</v>
      </c>
      <c r="C37" s="348"/>
      <c r="D37" s="348"/>
      <c r="E37" s="348"/>
      <c r="F37" s="348"/>
      <c r="G37" s="471">
        <f>G8</f>
        <v>30.071480000000005</v>
      </c>
      <c r="I37" s="347" t="s">
        <v>99</v>
      </c>
      <c r="J37" s="348"/>
      <c r="K37" s="348"/>
      <c r="L37" s="348"/>
      <c r="M37" s="348"/>
      <c r="N37" s="471">
        <f>N8</f>
        <v>8071.11</v>
      </c>
      <c r="P37" s="347" t="s">
        <v>99</v>
      </c>
      <c r="Q37" s="348"/>
      <c r="R37" s="348"/>
      <c r="S37" s="348"/>
      <c r="T37" s="348"/>
      <c r="U37" s="471">
        <f>U8</f>
        <v>46030.64</v>
      </c>
    </row>
    <row r="38" spans="2:21" ht="38.25" x14ac:dyDescent="0.2">
      <c r="B38" s="353" t="s">
        <v>381</v>
      </c>
      <c r="C38" s="346"/>
      <c r="D38" s="346"/>
      <c r="E38" s="346"/>
      <c r="F38" s="346"/>
      <c r="G38" s="473">
        <f>G7-G8</f>
        <v>862.45852000000014</v>
      </c>
      <c r="I38" s="353" t="s">
        <v>381</v>
      </c>
      <c r="J38" s="346"/>
      <c r="K38" s="346"/>
      <c r="L38" s="346"/>
      <c r="M38" s="346"/>
      <c r="N38" s="473">
        <f>N7-N8</f>
        <v>169870.98700000002</v>
      </c>
      <c r="P38" s="353" t="s">
        <v>381</v>
      </c>
      <c r="Q38" s="346"/>
      <c r="R38" s="346"/>
      <c r="S38" s="346"/>
      <c r="T38" s="346"/>
      <c r="U38" s="473">
        <f>U7-U8</f>
        <v>995448.06599999999</v>
      </c>
    </row>
    <row r="39" spans="2:21" ht="13.5" thickBot="1" x14ac:dyDescent="0.25">
      <c r="B39" s="351" t="s">
        <v>83</v>
      </c>
      <c r="C39" s="352"/>
      <c r="D39" s="352"/>
      <c r="E39" s="352"/>
      <c r="F39" s="352"/>
      <c r="G39" s="475">
        <f>G6</f>
        <v>305.05</v>
      </c>
      <c r="I39" s="351" t="s">
        <v>83</v>
      </c>
      <c r="J39" s="352"/>
      <c r="K39" s="352"/>
      <c r="L39" s="352"/>
      <c r="M39" s="352"/>
      <c r="N39" s="475">
        <f>N6</f>
        <v>89995.516000000003</v>
      </c>
      <c r="P39" s="351" t="s">
        <v>83</v>
      </c>
      <c r="Q39" s="352"/>
      <c r="R39" s="352"/>
      <c r="S39" s="352"/>
      <c r="T39" s="352"/>
      <c r="U39" s="475">
        <f>U6</f>
        <v>305205.06699999998</v>
      </c>
    </row>
  </sheetData>
  <mergeCells count="12">
    <mergeCell ref="B22:G22"/>
    <mergeCell ref="I22:N22"/>
    <mergeCell ref="P22:U22"/>
    <mergeCell ref="B35:G35"/>
    <mergeCell ref="I35:N35"/>
    <mergeCell ref="P35:U35"/>
    <mergeCell ref="B3:G3"/>
    <mergeCell ref="I3:N3"/>
    <mergeCell ref="P3:U3"/>
    <mergeCell ref="B11:G11"/>
    <mergeCell ref="I11:N11"/>
    <mergeCell ref="P11:U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V95"/>
  <sheetViews>
    <sheetView zoomScale="80" zoomScaleNormal="80"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4" t="s">
        <v>737</v>
      </c>
      <c r="C3" s="1025"/>
      <c r="D3" s="1025"/>
      <c r="E3" s="1025"/>
      <c r="F3" s="1025"/>
      <c r="G3" s="1025"/>
      <c r="I3" s="1024" t="s">
        <v>736</v>
      </c>
      <c r="J3" s="1025"/>
      <c r="K3" s="1025"/>
      <c r="L3" s="1025"/>
      <c r="M3" s="1025"/>
      <c r="N3" s="1025"/>
      <c r="P3" s="1024" t="s">
        <v>735</v>
      </c>
      <c r="Q3" s="1025"/>
      <c r="R3" s="1025"/>
      <c r="S3" s="1025"/>
      <c r="T3" s="1025"/>
      <c r="U3" s="1025"/>
    </row>
    <row r="4" spans="2:21" ht="13.5" thickBot="1" x14ac:dyDescent="0.25">
      <c r="B4" s="614"/>
      <c r="C4" s="614" t="s">
        <v>78</v>
      </c>
      <c r="D4" s="614" t="s">
        <v>309</v>
      </c>
      <c r="E4" s="619" t="s">
        <v>82</v>
      </c>
      <c r="F4" s="614" t="s">
        <v>310</v>
      </c>
      <c r="G4" s="614" t="s">
        <v>486</v>
      </c>
      <c r="I4" s="614"/>
      <c r="J4" s="614" t="s">
        <v>78</v>
      </c>
      <c r="K4" s="614" t="s">
        <v>309</v>
      </c>
      <c r="L4" s="619" t="s">
        <v>82</v>
      </c>
      <c r="M4" s="614" t="s">
        <v>310</v>
      </c>
      <c r="N4" s="614" t="s">
        <v>486</v>
      </c>
      <c r="P4" s="614"/>
      <c r="Q4" s="614" t="s">
        <v>78</v>
      </c>
      <c r="R4" s="614" t="s">
        <v>309</v>
      </c>
      <c r="S4" s="619" t="s">
        <v>82</v>
      </c>
      <c r="T4" s="614" t="s">
        <v>310</v>
      </c>
      <c r="U4" s="614" t="s">
        <v>486</v>
      </c>
    </row>
    <row r="5" spans="2:21" x14ac:dyDescent="0.2">
      <c r="B5" s="612" t="s">
        <v>721</v>
      </c>
      <c r="C5" s="618">
        <v>181.17345999999995</v>
      </c>
      <c r="D5" s="618">
        <v>1016.37209</v>
      </c>
      <c r="E5" s="617">
        <v>0.64792943065038755</v>
      </c>
      <c r="F5" s="616">
        <f>D5*E5/100</f>
        <v>6.5853738960264447</v>
      </c>
      <c r="G5" s="615">
        <f>C5+D5</f>
        <v>1197.5455499999998</v>
      </c>
      <c r="I5" s="612" t="s">
        <v>721</v>
      </c>
      <c r="J5" s="618">
        <v>35136.934000000001</v>
      </c>
      <c r="K5" s="618">
        <v>232722.22099999999</v>
      </c>
      <c r="L5" s="617">
        <v>1.3249205983688215</v>
      </c>
      <c r="M5" s="616">
        <f>K5*L5/100</f>
        <v>3083.3846430104109</v>
      </c>
      <c r="N5" s="615">
        <f>J5+K5</f>
        <v>267859.15499999997</v>
      </c>
      <c r="P5" s="612" t="s">
        <v>721</v>
      </c>
      <c r="Q5" s="618">
        <v>207905.27900000001</v>
      </c>
      <c r="R5" s="618">
        <v>1139545.4410000001</v>
      </c>
      <c r="S5" s="617">
        <v>1.2114807274468335</v>
      </c>
      <c r="T5" s="616">
        <f>R5*S5/100</f>
        <v>13805.373398214029</v>
      </c>
      <c r="U5" s="615">
        <f>Q5+R5</f>
        <v>1347450.7200000002</v>
      </c>
    </row>
    <row r="6" spans="2:21" x14ac:dyDescent="0.2">
      <c r="B6" s="608" t="s">
        <v>286</v>
      </c>
      <c r="C6" s="346">
        <v>16.338729999999998</v>
      </c>
      <c r="D6" s="346">
        <v>59.816089999999996</v>
      </c>
      <c r="E6" s="468">
        <v>1.7</v>
      </c>
      <c r="F6" s="472">
        <f t="shared" ref="F6:F19" si="0">D6*E6/100</f>
        <v>1.0168735299999998</v>
      </c>
      <c r="G6" s="473">
        <f t="shared" ref="G6:G19" si="1">C6+D6</f>
        <v>76.154820000000001</v>
      </c>
      <c r="I6" s="608" t="s">
        <v>286</v>
      </c>
      <c r="J6" s="346">
        <v>3059.9879999999998</v>
      </c>
      <c r="K6" s="346">
        <v>13512.279</v>
      </c>
      <c r="L6" s="468">
        <v>4.5599999999999996</v>
      </c>
      <c r="M6" s="472">
        <f t="shared" ref="M6:M19" si="2">K6*L6/100</f>
        <v>616.15992240000003</v>
      </c>
      <c r="N6" s="473">
        <f t="shared" ref="N6:N19" si="3">J6+K6</f>
        <v>16572.267</v>
      </c>
      <c r="P6" s="608" t="s">
        <v>286</v>
      </c>
      <c r="Q6" s="346">
        <v>26134.491999999998</v>
      </c>
      <c r="R6" s="346">
        <v>62577.341999999997</v>
      </c>
      <c r="S6" s="468">
        <v>4.51</v>
      </c>
      <c r="T6" s="472">
        <f t="shared" ref="T6:T19" si="4">R6*S6/100</f>
        <v>2822.2381241999997</v>
      </c>
      <c r="U6" s="473">
        <f>Q6+R6</f>
        <v>88711.834000000003</v>
      </c>
    </row>
    <row r="7" spans="2:21" x14ac:dyDescent="0.2">
      <c r="B7" s="609" t="s">
        <v>307</v>
      </c>
      <c r="C7" s="346">
        <v>10.266860000000001</v>
      </c>
      <c r="D7" s="346">
        <v>96.409600000000012</v>
      </c>
      <c r="E7" s="468">
        <v>2</v>
      </c>
      <c r="F7" s="472">
        <f t="shared" si="0"/>
        <v>1.9281920000000001</v>
      </c>
      <c r="G7" s="473">
        <f t="shared" si="1"/>
        <v>106.67646000000002</v>
      </c>
      <c r="I7" s="609" t="s">
        <v>307</v>
      </c>
      <c r="J7" s="346">
        <v>2115.39</v>
      </c>
      <c r="K7" s="346">
        <v>23618.437999999998</v>
      </c>
      <c r="L7" s="468">
        <v>4.5599999999999996</v>
      </c>
      <c r="M7" s="472">
        <f t="shared" si="2"/>
        <v>1077.0007727999998</v>
      </c>
      <c r="N7" s="473">
        <f t="shared" si="3"/>
        <v>25733.827999999998</v>
      </c>
      <c r="P7" s="609" t="s">
        <v>307</v>
      </c>
      <c r="Q7" s="346">
        <v>10544.929</v>
      </c>
      <c r="R7" s="346">
        <v>113611.928</v>
      </c>
      <c r="S7" s="468">
        <v>3.79</v>
      </c>
      <c r="T7" s="472">
        <f t="shared" si="4"/>
        <v>4305.8920711999999</v>
      </c>
      <c r="U7" s="473">
        <f t="shared" ref="U7:U19" si="5">Q7+R7</f>
        <v>124156.857</v>
      </c>
    </row>
    <row r="8" spans="2:21" x14ac:dyDescent="0.2">
      <c r="B8" s="608" t="s">
        <v>287</v>
      </c>
      <c r="C8" s="346">
        <v>21.707750000000001</v>
      </c>
      <c r="D8" s="346">
        <v>102.52519000000001</v>
      </c>
      <c r="E8" s="468">
        <v>1.44</v>
      </c>
      <c r="F8" s="472">
        <f t="shared" si="0"/>
        <v>1.476362736</v>
      </c>
      <c r="G8" s="473">
        <f t="shared" si="1"/>
        <v>124.23294000000001</v>
      </c>
      <c r="I8" s="608" t="s">
        <v>287</v>
      </c>
      <c r="J8" s="346">
        <v>3921.0219999999999</v>
      </c>
      <c r="K8" s="346">
        <v>19729.57</v>
      </c>
      <c r="L8" s="468">
        <v>4.33</v>
      </c>
      <c r="M8" s="472">
        <f t="shared" si="2"/>
        <v>854.29038100000002</v>
      </c>
      <c r="N8" s="473">
        <f t="shared" si="3"/>
        <v>23650.592000000001</v>
      </c>
      <c r="P8" s="608" t="s">
        <v>287</v>
      </c>
      <c r="Q8" s="346">
        <v>23072.591</v>
      </c>
      <c r="R8" s="346">
        <v>105963.91800000001</v>
      </c>
      <c r="S8" s="468">
        <v>4.3099999999999996</v>
      </c>
      <c r="T8" s="472">
        <f t="shared" si="4"/>
        <v>4567.0448657999996</v>
      </c>
      <c r="U8" s="473">
        <f t="shared" si="5"/>
        <v>129036.50900000001</v>
      </c>
    </row>
    <row r="9" spans="2:21" x14ac:dyDescent="0.2">
      <c r="B9" s="609" t="s">
        <v>288</v>
      </c>
      <c r="C9" s="346">
        <v>6.7304899999999996</v>
      </c>
      <c r="D9" s="346">
        <v>44.435970000000005</v>
      </c>
      <c r="E9" s="468">
        <v>1.81</v>
      </c>
      <c r="F9" s="472">
        <f t="shared" si="0"/>
        <v>0.80429105700000003</v>
      </c>
      <c r="G9" s="473">
        <f t="shared" si="1"/>
        <v>51.166460000000001</v>
      </c>
      <c r="I9" s="609" t="s">
        <v>288</v>
      </c>
      <c r="J9" s="346">
        <v>1308.79</v>
      </c>
      <c r="K9" s="346">
        <v>8339.4599999999991</v>
      </c>
      <c r="L9" s="468">
        <v>7.13</v>
      </c>
      <c r="M9" s="472">
        <f t="shared" si="2"/>
        <v>594.60349799999995</v>
      </c>
      <c r="N9" s="473">
        <f t="shared" si="3"/>
        <v>9648.25</v>
      </c>
      <c r="P9" s="609" t="s">
        <v>288</v>
      </c>
      <c r="Q9" s="346">
        <v>5171.6210000000001</v>
      </c>
      <c r="R9" s="346">
        <v>45528.826000000001</v>
      </c>
      <c r="S9" s="468">
        <v>6.43</v>
      </c>
      <c r="T9" s="472">
        <f t="shared" si="4"/>
        <v>2927.5035118000001</v>
      </c>
      <c r="U9" s="473">
        <f t="shared" si="5"/>
        <v>50700.447</v>
      </c>
    </row>
    <row r="10" spans="2:21" x14ac:dyDescent="0.2">
      <c r="B10" s="608" t="s">
        <v>305</v>
      </c>
      <c r="C10" s="346">
        <v>1.2154100000000001</v>
      </c>
      <c r="D10" s="346">
        <v>25.682310000000001</v>
      </c>
      <c r="E10" s="468">
        <v>15.99</v>
      </c>
      <c r="F10" s="472">
        <f t="shared" si="0"/>
        <v>4.1066013689999998</v>
      </c>
      <c r="G10" s="473">
        <f t="shared" si="1"/>
        <v>26.89772</v>
      </c>
      <c r="I10" s="608" t="s">
        <v>305</v>
      </c>
      <c r="J10" s="346">
        <v>179.892</v>
      </c>
      <c r="K10" s="346">
        <v>4595.5990000000002</v>
      </c>
      <c r="L10" s="468">
        <v>12.35</v>
      </c>
      <c r="M10" s="472">
        <f t="shared" si="2"/>
        <v>567.55647650000003</v>
      </c>
      <c r="N10" s="473">
        <f t="shared" si="3"/>
        <v>4775.491</v>
      </c>
      <c r="P10" s="608" t="s">
        <v>305</v>
      </c>
      <c r="Q10" s="346">
        <v>1222.0129999999999</v>
      </c>
      <c r="R10" s="346">
        <v>22610.062999999998</v>
      </c>
      <c r="S10" s="468">
        <v>10.77</v>
      </c>
      <c r="T10" s="472">
        <f t="shared" si="4"/>
        <v>2435.1037850999996</v>
      </c>
      <c r="U10" s="473">
        <f t="shared" si="5"/>
        <v>23832.075999999997</v>
      </c>
    </row>
    <row r="11" spans="2:21" x14ac:dyDescent="0.2">
      <c r="B11" s="609" t="s">
        <v>289</v>
      </c>
      <c r="C11" s="346">
        <v>0.72744000000000009</v>
      </c>
      <c r="D11" s="346">
        <v>32.458410000000001</v>
      </c>
      <c r="E11" s="468">
        <v>1.9</v>
      </c>
      <c r="F11" s="472">
        <f t="shared" si="0"/>
        <v>0.61670978999999992</v>
      </c>
      <c r="G11" s="473">
        <f t="shared" si="1"/>
        <v>33.185850000000002</v>
      </c>
      <c r="I11" s="609" t="s">
        <v>289</v>
      </c>
      <c r="J11" s="346">
        <v>107.497</v>
      </c>
      <c r="K11" s="346">
        <v>6357.6980000000003</v>
      </c>
      <c r="L11" s="468">
        <v>12.52</v>
      </c>
      <c r="M11" s="472">
        <f t="shared" si="2"/>
        <v>795.98378960000002</v>
      </c>
      <c r="N11" s="473">
        <f t="shared" si="3"/>
        <v>6465.1950000000006</v>
      </c>
      <c r="P11" s="609" t="s">
        <v>289</v>
      </c>
      <c r="Q11" s="346">
        <v>615.24</v>
      </c>
      <c r="R11" s="346">
        <v>29559.473000000002</v>
      </c>
      <c r="S11" s="468">
        <v>6.72</v>
      </c>
      <c r="T11" s="472">
        <f t="shared" si="4"/>
        <v>1986.3965856000002</v>
      </c>
      <c r="U11" s="473">
        <f t="shared" si="5"/>
        <v>30174.713000000003</v>
      </c>
    </row>
    <row r="12" spans="2:21" x14ac:dyDescent="0.2">
      <c r="B12" s="608" t="s">
        <v>306</v>
      </c>
      <c r="C12" s="346">
        <v>5.3738100000000006</v>
      </c>
      <c r="D12" s="346">
        <v>91.230199999999996</v>
      </c>
      <c r="E12" s="468">
        <v>2.84</v>
      </c>
      <c r="F12" s="472">
        <f t="shared" si="0"/>
        <v>2.5909376799999997</v>
      </c>
      <c r="G12" s="473">
        <f t="shared" si="1"/>
        <v>96.604010000000002</v>
      </c>
      <c r="I12" s="608" t="s">
        <v>306</v>
      </c>
      <c r="J12" s="346">
        <v>894.36300000000006</v>
      </c>
      <c r="K12" s="346">
        <v>19693.312000000002</v>
      </c>
      <c r="L12" s="468">
        <v>4.33</v>
      </c>
      <c r="M12" s="472">
        <f t="shared" si="2"/>
        <v>852.72040960000015</v>
      </c>
      <c r="N12" s="473">
        <f t="shared" si="3"/>
        <v>20587.675000000003</v>
      </c>
      <c r="P12" s="608" t="s">
        <v>306</v>
      </c>
      <c r="Q12" s="346">
        <v>6501.2479999999996</v>
      </c>
      <c r="R12" s="346">
        <v>128190.28200000001</v>
      </c>
      <c r="S12" s="468">
        <v>4.63</v>
      </c>
      <c r="T12" s="472">
        <f t="shared" si="4"/>
        <v>5935.2100565999999</v>
      </c>
      <c r="U12" s="473">
        <f t="shared" si="5"/>
        <v>134691.53</v>
      </c>
    </row>
    <row r="13" spans="2:21" x14ac:dyDescent="0.2">
      <c r="B13" s="609" t="s">
        <v>290</v>
      </c>
      <c r="C13" s="346">
        <v>8.6968199999999989</v>
      </c>
      <c r="D13" s="346">
        <v>38.227789999999999</v>
      </c>
      <c r="E13" s="468">
        <v>1.84</v>
      </c>
      <c r="F13" s="472">
        <f t="shared" si="0"/>
        <v>0.70339133599999992</v>
      </c>
      <c r="G13" s="473">
        <f t="shared" si="1"/>
        <v>46.924610000000001</v>
      </c>
      <c r="I13" s="609" t="s">
        <v>290</v>
      </c>
      <c r="J13" s="346">
        <v>1485.0840000000001</v>
      </c>
      <c r="K13" s="346">
        <v>7796.9870000000001</v>
      </c>
      <c r="L13" s="468">
        <v>6.37</v>
      </c>
      <c r="M13" s="472">
        <f t="shared" si="2"/>
        <v>496.66807189999997</v>
      </c>
      <c r="N13" s="473">
        <f t="shared" si="3"/>
        <v>9282.0709999999999</v>
      </c>
      <c r="P13" s="609" t="s">
        <v>290</v>
      </c>
      <c r="Q13" s="346">
        <v>10051.968999999999</v>
      </c>
      <c r="R13" s="346">
        <v>42679.970999999998</v>
      </c>
      <c r="S13" s="468">
        <v>5.85</v>
      </c>
      <c r="T13" s="472">
        <f t="shared" si="4"/>
        <v>2496.7783034999998</v>
      </c>
      <c r="U13" s="473">
        <f t="shared" si="5"/>
        <v>52731.939999999995</v>
      </c>
    </row>
    <row r="14" spans="2:21" x14ac:dyDescent="0.2">
      <c r="B14" s="608" t="s">
        <v>291</v>
      </c>
      <c r="C14" s="346">
        <v>40.127139999999997</v>
      </c>
      <c r="D14" s="346">
        <v>60.216670000000001</v>
      </c>
      <c r="E14" s="468">
        <v>2.5299999999999998</v>
      </c>
      <c r="F14" s="472">
        <f t="shared" si="0"/>
        <v>1.5234817509999998</v>
      </c>
      <c r="G14" s="473">
        <f t="shared" si="1"/>
        <v>100.34380999999999</v>
      </c>
      <c r="I14" s="608" t="s">
        <v>291</v>
      </c>
      <c r="J14" s="346">
        <v>6731.116</v>
      </c>
      <c r="K14" s="346">
        <v>13663.496999999999</v>
      </c>
      <c r="L14" s="468">
        <v>5.29</v>
      </c>
      <c r="M14" s="472">
        <f t="shared" si="2"/>
        <v>722.7989912999999</v>
      </c>
      <c r="N14" s="473">
        <f t="shared" si="3"/>
        <v>20394.612999999998</v>
      </c>
      <c r="P14" s="608" t="s">
        <v>291</v>
      </c>
      <c r="Q14" s="346">
        <v>60699.254999999997</v>
      </c>
      <c r="R14" s="346">
        <v>75969.606</v>
      </c>
      <c r="S14" s="468">
        <v>5.68</v>
      </c>
      <c r="T14" s="472">
        <f t="shared" si="4"/>
        <v>4315.0736207999998</v>
      </c>
      <c r="U14" s="473">
        <f t="shared" si="5"/>
        <v>136668.861</v>
      </c>
    </row>
    <row r="15" spans="2:21" x14ac:dyDescent="0.2">
      <c r="B15" s="609" t="s">
        <v>292</v>
      </c>
      <c r="C15" s="346">
        <v>21.131790000000002</v>
      </c>
      <c r="D15" s="346">
        <v>93.152839999999998</v>
      </c>
      <c r="E15" s="468">
        <v>1.5</v>
      </c>
      <c r="F15" s="472">
        <f t="shared" si="0"/>
        <v>1.3972926000000001</v>
      </c>
      <c r="G15" s="473">
        <f t="shared" si="1"/>
        <v>114.28462999999999</v>
      </c>
      <c r="I15" s="609" t="s">
        <v>292</v>
      </c>
      <c r="J15" s="346">
        <v>5741.1769999999997</v>
      </c>
      <c r="K15" s="346">
        <v>23020.916000000001</v>
      </c>
      <c r="L15" s="468">
        <v>3.18</v>
      </c>
      <c r="M15" s="472">
        <f t="shared" si="2"/>
        <v>732.06512880000014</v>
      </c>
      <c r="N15" s="473">
        <f t="shared" si="3"/>
        <v>28762.093000000001</v>
      </c>
      <c r="P15" s="609" t="s">
        <v>292</v>
      </c>
      <c r="Q15" s="346">
        <v>18891.375</v>
      </c>
      <c r="R15" s="346">
        <v>108672.41800000001</v>
      </c>
      <c r="S15" s="468">
        <v>3.26</v>
      </c>
      <c r="T15" s="472">
        <f t="shared" si="4"/>
        <v>3542.7208267999999</v>
      </c>
      <c r="U15" s="473">
        <f t="shared" si="5"/>
        <v>127563.79300000001</v>
      </c>
    </row>
    <row r="16" spans="2:21" x14ac:dyDescent="0.2">
      <c r="B16" s="608" t="s">
        <v>293</v>
      </c>
      <c r="C16" s="346">
        <v>2.5629</v>
      </c>
      <c r="D16" s="346">
        <v>86.046720000000008</v>
      </c>
      <c r="E16" s="468">
        <v>0.94</v>
      </c>
      <c r="F16" s="472">
        <f t="shared" si="0"/>
        <v>0.80883916800000011</v>
      </c>
      <c r="G16" s="473">
        <f t="shared" si="1"/>
        <v>88.609620000000007</v>
      </c>
      <c r="I16" s="608" t="s">
        <v>293</v>
      </c>
      <c r="J16" s="346">
        <v>493.28500000000003</v>
      </c>
      <c r="K16" s="346">
        <v>21561.99</v>
      </c>
      <c r="L16" s="468">
        <v>3.33</v>
      </c>
      <c r="M16" s="472">
        <f t="shared" si="2"/>
        <v>718.01426700000013</v>
      </c>
      <c r="N16" s="473">
        <f t="shared" si="3"/>
        <v>22055.275000000001</v>
      </c>
      <c r="P16" s="608" t="s">
        <v>293</v>
      </c>
      <c r="Q16" s="346">
        <v>2485.41</v>
      </c>
      <c r="R16" s="346">
        <v>91781.61</v>
      </c>
      <c r="S16" s="468">
        <v>3.58</v>
      </c>
      <c r="T16" s="472">
        <f t="shared" si="4"/>
        <v>3285.7816379999999</v>
      </c>
      <c r="U16" s="473">
        <f t="shared" si="5"/>
        <v>94267.02</v>
      </c>
    </row>
    <row r="17" spans="2:21" x14ac:dyDescent="0.2">
      <c r="B17" s="609" t="s">
        <v>294</v>
      </c>
      <c r="C17" s="346">
        <v>10.756680000000001</v>
      </c>
      <c r="D17" s="346">
        <v>90.090509999999995</v>
      </c>
      <c r="E17" s="468">
        <v>1.65</v>
      </c>
      <c r="F17" s="472">
        <f t="shared" si="0"/>
        <v>1.486493415</v>
      </c>
      <c r="G17" s="473">
        <f t="shared" si="1"/>
        <v>100.84719</v>
      </c>
      <c r="I17" s="609" t="s">
        <v>294</v>
      </c>
      <c r="J17" s="346">
        <v>2199.4859999999999</v>
      </c>
      <c r="K17" s="346">
        <v>23342.064999999999</v>
      </c>
      <c r="L17" s="468">
        <v>4.28</v>
      </c>
      <c r="M17" s="472">
        <f t="shared" si="2"/>
        <v>999.04038199999991</v>
      </c>
      <c r="N17" s="473">
        <f t="shared" si="3"/>
        <v>25541.550999999999</v>
      </c>
      <c r="P17" s="609" t="s">
        <v>294</v>
      </c>
      <c r="Q17" s="346">
        <v>8917.5840000000007</v>
      </c>
      <c r="R17" s="346">
        <v>96314.125</v>
      </c>
      <c r="S17" s="468">
        <v>3.66</v>
      </c>
      <c r="T17" s="472">
        <f t="shared" si="4"/>
        <v>3525.0969749999999</v>
      </c>
      <c r="U17" s="473">
        <f t="shared" si="5"/>
        <v>105231.709</v>
      </c>
    </row>
    <row r="18" spans="2:21" x14ac:dyDescent="0.2">
      <c r="B18" s="608" t="s">
        <v>295</v>
      </c>
      <c r="C18" s="346">
        <v>19.459019999999999</v>
      </c>
      <c r="D18" s="346">
        <v>111.30824000000001</v>
      </c>
      <c r="E18" s="468">
        <v>1.38</v>
      </c>
      <c r="F18" s="472">
        <f t="shared" si="0"/>
        <v>1.5360537120000002</v>
      </c>
      <c r="G18" s="473">
        <f t="shared" si="1"/>
        <v>130.76726000000002</v>
      </c>
      <c r="I18" s="608" t="s">
        <v>295</v>
      </c>
      <c r="J18" s="346">
        <v>4162.5219999999999</v>
      </c>
      <c r="K18" s="346">
        <v>30266.026000000002</v>
      </c>
      <c r="L18" s="468">
        <v>4.7</v>
      </c>
      <c r="M18" s="472">
        <f t="shared" si="2"/>
        <v>1422.5032220000003</v>
      </c>
      <c r="N18" s="473">
        <f t="shared" si="3"/>
        <v>34428.548000000003</v>
      </c>
      <c r="P18" s="608" t="s">
        <v>295</v>
      </c>
      <c r="Q18" s="346">
        <v>17600.126</v>
      </c>
      <c r="R18" s="346">
        <v>122038.25900000001</v>
      </c>
      <c r="S18" s="468">
        <v>3.61</v>
      </c>
      <c r="T18" s="472">
        <f t="shared" si="4"/>
        <v>4405.5811499000001</v>
      </c>
      <c r="U18" s="473">
        <f t="shared" si="5"/>
        <v>139638.38500000001</v>
      </c>
    </row>
    <row r="19" spans="2:21" ht="13.5" thickBot="1" x14ac:dyDescent="0.25">
      <c r="B19" s="604" t="s">
        <v>296</v>
      </c>
      <c r="C19" s="352">
        <v>16.078620000000001</v>
      </c>
      <c r="D19" s="352">
        <v>84.771550000000005</v>
      </c>
      <c r="E19" s="469">
        <v>1.6</v>
      </c>
      <c r="F19" s="474">
        <f t="shared" si="0"/>
        <v>1.3563448000000002</v>
      </c>
      <c r="G19" s="475">
        <f t="shared" si="1"/>
        <v>100.85017000000001</v>
      </c>
      <c r="I19" s="604" t="s">
        <v>296</v>
      </c>
      <c r="J19" s="352">
        <v>2737.3220000000001</v>
      </c>
      <c r="K19" s="352">
        <v>17224.383999999998</v>
      </c>
      <c r="L19" s="469">
        <v>3.48</v>
      </c>
      <c r="M19" s="474">
        <f t="shared" si="2"/>
        <v>599.40856319999989</v>
      </c>
      <c r="N19" s="475">
        <f t="shared" si="3"/>
        <v>19961.705999999998</v>
      </c>
      <c r="P19" s="604" t="s">
        <v>296</v>
      </c>
      <c r="Q19" s="352">
        <v>15997.425999999999</v>
      </c>
      <c r="R19" s="352">
        <v>94047.62</v>
      </c>
      <c r="S19" s="469">
        <v>3.28</v>
      </c>
      <c r="T19" s="474">
        <f t="shared" si="4"/>
        <v>3084.7619359999994</v>
      </c>
      <c r="U19" s="475">
        <f t="shared" si="5"/>
        <v>110045.046</v>
      </c>
    </row>
    <row r="22" spans="2:21" ht="38.25" customHeight="1" x14ac:dyDescent="0.2">
      <c r="B22" s="1024" t="s">
        <v>734</v>
      </c>
      <c r="C22" s="1025"/>
      <c r="D22" s="1025"/>
      <c r="E22" s="1025"/>
      <c r="F22" s="1025"/>
      <c r="G22" s="1025"/>
      <c r="I22" s="1024" t="s">
        <v>733</v>
      </c>
      <c r="J22" s="1025"/>
      <c r="K22" s="1025"/>
      <c r="L22" s="1025"/>
      <c r="M22" s="1025"/>
      <c r="N22" s="1025"/>
      <c r="P22" s="1024" t="s">
        <v>764</v>
      </c>
      <c r="Q22" s="1025"/>
      <c r="R22" s="1025"/>
      <c r="S22" s="1025"/>
      <c r="T22" s="1025"/>
      <c r="U22" s="1025"/>
    </row>
    <row r="23" spans="2:21" ht="13.5" thickBot="1" x14ac:dyDescent="0.25">
      <c r="B23" s="614"/>
      <c r="C23" s="614" t="s">
        <v>78</v>
      </c>
      <c r="D23" s="614" t="s">
        <v>309</v>
      </c>
      <c r="E23" s="619" t="s">
        <v>82</v>
      </c>
      <c r="F23" s="614" t="s">
        <v>310</v>
      </c>
      <c r="G23" s="614" t="s">
        <v>486</v>
      </c>
      <c r="I23" s="614"/>
      <c r="J23" s="614" t="s">
        <v>78</v>
      </c>
      <c r="K23" s="614" t="s">
        <v>309</v>
      </c>
      <c r="L23" s="619" t="s">
        <v>82</v>
      </c>
      <c r="M23" s="614" t="s">
        <v>310</v>
      </c>
      <c r="N23" s="614" t="s">
        <v>486</v>
      </c>
      <c r="P23" s="614"/>
      <c r="Q23" s="614" t="s">
        <v>78</v>
      </c>
      <c r="R23" s="614" t="s">
        <v>309</v>
      </c>
      <c r="S23" s="619" t="s">
        <v>82</v>
      </c>
      <c r="T23" s="614" t="s">
        <v>310</v>
      </c>
      <c r="U23" s="614" t="s">
        <v>486</v>
      </c>
    </row>
    <row r="24" spans="2:21" x14ac:dyDescent="0.2">
      <c r="B24" s="612" t="s">
        <v>721</v>
      </c>
      <c r="C24" s="618">
        <v>127.51262</v>
      </c>
      <c r="D24" s="618">
        <v>177.55427</v>
      </c>
      <c r="E24" s="617">
        <v>1.838364322627509</v>
      </c>
      <c r="F24" s="616">
        <f t="shared" ref="F24:F38" si="6">D24*E24/100</f>
        <v>3.2640943529817186</v>
      </c>
      <c r="G24" s="615">
        <f t="shared" ref="G24:G38" si="7">C24+D24</f>
        <v>305.06689</v>
      </c>
      <c r="I24" s="612" t="s">
        <v>721</v>
      </c>
      <c r="J24" s="618">
        <v>26375.967000000001</v>
      </c>
      <c r="K24" s="618">
        <v>63619.548999999999</v>
      </c>
      <c r="L24" s="617">
        <v>2.44942320338764</v>
      </c>
      <c r="M24" s="616">
        <f t="shared" ref="M24:M38" si="8">K24*L24/100</f>
        <v>1558.3119950965693</v>
      </c>
      <c r="N24" s="615">
        <f t="shared" ref="N24:N38" si="9">J24+K24</f>
        <v>89995.516000000003</v>
      </c>
      <c r="P24" s="612" t="s">
        <v>721</v>
      </c>
      <c r="Q24" s="618">
        <v>149700.77499999999</v>
      </c>
      <c r="R24" s="618">
        <v>155504.29199999999</v>
      </c>
      <c r="S24" s="617">
        <v>2.9411401766810834</v>
      </c>
      <c r="T24" s="616">
        <f t="shared" ref="T24:T38" si="10">R24*S24/100</f>
        <v>4573.599208475468</v>
      </c>
      <c r="U24" s="615">
        <f t="shared" ref="U24:U38" si="11">Q24+R24</f>
        <v>305205.06699999998</v>
      </c>
    </row>
    <row r="25" spans="2:21" x14ac:dyDescent="0.2">
      <c r="B25" s="608" t="s">
        <v>286</v>
      </c>
      <c r="C25" s="346">
        <v>13.633100000000001</v>
      </c>
      <c r="D25" s="346">
        <v>17.642330000000001</v>
      </c>
      <c r="E25" s="468">
        <v>5.7</v>
      </c>
      <c r="F25" s="472">
        <f t="shared" si="6"/>
        <v>1.0056128100000001</v>
      </c>
      <c r="G25" s="473">
        <f t="shared" si="7"/>
        <v>31.27543</v>
      </c>
      <c r="I25" s="608" t="s">
        <v>286</v>
      </c>
      <c r="J25" s="346">
        <v>2712.08</v>
      </c>
      <c r="K25" s="346">
        <v>6126.6009999999997</v>
      </c>
      <c r="L25" s="468">
        <v>7.2</v>
      </c>
      <c r="M25" s="472">
        <f t="shared" si="8"/>
        <v>441.11527199999995</v>
      </c>
      <c r="N25" s="473">
        <f t="shared" si="9"/>
        <v>8838.6810000000005</v>
      </c>
      <c r="P25" s="608" t="s">
        <v>286</v>
      </c>
      <c r="Q25" s="346">
        <v>21655.496999999999</v>
      </c>
      <c r="R25" s="346">
        <v>17479.114000000001</v>
      </c>
      <c r="S25" s="468">
        <v>9.16</v>
      </c>
      <c r="T25" s="472">
        <f t="shared" si="10"/>
        <v>1601.0868424</v>
      </c>
      <c r="U25" s="473">
        <f t="shared" si="11"/>
        <v>39134.611000000004</v>
      </c>
    </row>
    <row r="26" spans="2:21" x14ac:dyDescent="0.2">
      <c r="B26" s="609" t="s">
        <v>307</v>
      </c>
      <c r="C26" s="346">
        <v>8.0540900000000004</v>
      </c>
      <c r="D26" s="346">
        <v>16.745930000000001</v>
      </c>
      <c r="E26" s="468">
        <v>5.48</v>
      </c>
      <c r="F26" s="472">
        <f t="shared" si="6"/>
        <v>0.91767696400000021</v>
      </c>
      <c r="G26" s="473">
        <f t="shared" si="7"/>
        <v>24.800020000000004</v>
      </c>
      <c r="I26" s="609" t="s">
        <v>307</v>
      </c>
      <c r="J26" s="346">
        <v>1821.8979999999999</v>
      </c>
      <c r="K26" s="346">
        <v>6429.5550000000003</v>
      </c>
      <c r="L26" s="468">
        <v>7.14</v>
      </c>
      <c r="M26" s="472">
        <f t="shared" si="8"/>
        <v>459.07022699999999</v>
      </c>
      <c r="N26" s="473">
        <f t="shared" si="9"/>
        <v>8251.4529999999995</v>
      </c>
      <c r="P26" s="609" t="s">
        <v>307</v>
      </c>
      <c r="Q26" s="346">
        <v>7957.8720000000003</v>
      </c>
      <c r="R26" s="346">
        <v>15157.57</v>
      </c>
      <c r="S26" s="468">
        <v>9.6199999999999992</v>
      </c>
      <c r="T26" s="472">
        <f t="shared" si="10"/>
        <v>1458.158234</v>
      </c>
      <c r="U26" s="473">
        <f t="shared" si="11"/>
        <v>23115.441999999999</v>
      </c>
    </row>
    <row r="27" spans="2:21" x14ac:dyDescent="0.2">
      <c r="B27" s="608" t="s">
        <v>287</v>
      </c>
      <c r="C27" s="346">
        <v>17.605900000000002</v>
      </c>
      <c r="D27" s="346">
        <v>15.72425</v>
      </c>
      <c r="E27" s="468">
        <v>7.12</v>
      </c>
      <c r="F27" s="472">
        <f t="shared" si="6"/>
        <v>1.1195666</v>
      </c>
      <c r="G27" s="473">
        <f t="shared" si="7"/>
        <v>33.330150000000003</v>
      </c>
      <c r="I27" s="608" t="s">
        <v>287</v>
      </c>
      <c r="J27" s="346">
        <v>3382.819</v>
      </c>
      <c r="K27" s="346">
        <v>4079.4380000000001</v>
      </c>
      <c r="L27" s="468">
        <v>7.87</v>
      </c>
      <c r="M27" s="472">
        <f t="shared" si="8"/>
        <v>321.0517706</v>
      </c>
      <c r="N27" s="473">
        <f t="shared" si="9"/>
        <v>7462.2569999999996</v>
      </c>
      <c r="P27" s="608" t="s">
        <v>287</v>
      </c>
      <c r="Q27" s="346">
        <v>18879.43</v>
      </c>
      <c r="R27" s="346">
        <v>10462.906999999999</v>
      </c>
      <c r="S27" s="468">
        <v>9.36</v>
      </c>
      <c r="T27" s="472">
        <f t="shared" si="10"/>
        <v>979.32809519999978</v>
      </c>
      <c r="U27" s="473">
        <f t="shared" si="11"/>
        <v>29342.337</v>
      </c>
    </row>
    <row r="28" spans="2:21" x14ac:dyDescent="0.2">
      <c r="B28" s="609" t="s">
        <v>288</v>
      </c>
      <c r="C28" s="346">
        <v>4.7160200000000003</v>
      </c>
      <c r="D28" s="346">
        <v>7.3907499999999997</v>
      </c>
      <c r="E28" s="468">
        <v>10.36</v>
      </c>
      <c r="F28" s="472">
        <f t="shared" si="6"/>
        <v>0.76568169999999991</v>
      </c>
      <c r="G28" s="473">
        <f t="shared" si="7"/>
        <v>12.106770000000001</v>
      </c>
      <c r="I28" s="609" t="s">
        <v>288</v>
      </c>
      <c r="J28" s="346">
        <v>1088.232</v>
      </c>
      <c r="K28" s="346">
        <v>2411.3879999999999</v>
      </c>
      <c r="L28" s="468">
        <v>12.68</v>
      </c>
      <c r="M28" s="472">
        <f t="shared" si="8"/>
        <v>305.76399839999999</v>
      </c>
      <c r="N28" s="473">
        <f t="shared" si="9"/>
        <v>3499.62</v>
      </c>
      <c r="P28" s="609" t="s">
        <v>288</v>
      </c>
      <c r="Q28" s="346">
        <v>3794.451</v>
      </c>
      <c r="R28" s="346">
        <v>5483.6</v>
      </c>
      <c r="S28" s="468">
        <v>14.87</v>
      </c>
      <c r="T28" s="472">
        <f t="shared" si="10"/>
        <v>815.41131999999993</v>
      </c>
      <c r="U28" s="473">
        <f t="shared" si="11"/>
        <v>9278.0509999999995</v>
      </c>
    </row>
    <row r="29" spans="2:21" x14ac:dyDescent="0.2">
      <c r="B29" s="608" t="s">
        <v>305</v>
      </c>
      <c r="C29" s="346">
        <v>0.58132000000000006</v>
      </c>
      <c r="D29" s="346">
        <v>2.0668699999999998</v>
      </c>
      <c r="E29" s="468">
        <v>19.760000000000002</v>
      </c>
      <c r="F29" s="472">
        <f t="shared" si="6"/>
        <v>0.40841351199999998</v>
      </c>
      <c r="G29" s="473">
        <f t="shared" si="7"/>
        <v>2.6481899999999996</v>
      </c>
      <c r="I29" s="608" t="s">
        <v>305</v>
      </c>
      <c r="J29" s="346">
        <v>128.36199999999999</v>
      </c>
      <c r="K29" s="346">
        <v>600.87199999999996</v>
      </c>
      <c r="L29" s="468">
        <v>18.899999999999999</v>
      </c>
      <c r="M29" s="472">
        <f t="shared" si="8"/>
        <v>113.56480799999997</v>
      </c>
      <c r="N29" s="473">
        <f t="shared" si="9"/>
        <v>729.23399999999992</v>
      </c>
      <c r="P29" s="608" t="s">
        <v>305</v>
      </c>
      <c r="Q29" s="346">
        <v>509.09300000000002</v>
      </c>
      <c r="R29" s="346">
        <v>1634.7049999999999</v>
      </c>
      <c r="S29" s="468">
        <v>28.62</v>
      </c>
      <c r="T29" s="472">
        <f t="shared" si="10"/>
        <v>467.85257100000001</v>
      </c>
      <c r="U29" s="473">
        <f t="shared" si="11"/>
        <v>2143.7979999999998</v>
      </c>
    </row>
    <row r="30" spans="2:21" x14ac:dyDescent="0.2">
      <c r="B30" s="609" t="s">
        <v>289</v>
      </c>
      <c r="C30" s="346">
        <v>0.22287000000000001</v>
      </c>
      <c r="D30" s="346">
        <v>2.8965300000000003</v>
      </c>
      <c r="E30" s="468">
        <v>17.07</v>
      </c>
      <c r="F30" s="472">
        <f t="shared" si="6"/>
        <v>0.49443767100000002</v>
      </c>
      <c r="G30" s="473">
        <f t="shared" si="7"/>
        <v>3.1194000000000002</v>
      </c>
      <c r="I30" s="609" t="s">
        <v>289</v>
      </c>
      <c r="J30" s="346">
        <v>50.957999999999998</v>
      </c>
      <c r="K30" s="346">
        <v>924.99400000000003</v>
      </c>
      <c r="L30" s="468">
        <v>17.899999999999999</v>
      </c>
      <c r="M30" s="472">
        <f t="shared" si="8"/>
        <v>165.573926</v>
      </c>
      <c r="N30" s="473">
        <f t="shared" si="9"/>
        <v>975.952</v>
      </c>
      <c r="P30" s="609" t="s">
        <v>289</v>
      </c>
      <c r="Q30" s="346">
        <v>152.40199999999999</v>
      </c>
      <c r="R30" s="346">
        <v>2050.7620000000002</v>
      </c>
      <c r="S30" s="468">
        <v>20.78</v>
      </c>
      <c r="T30" s="472">
        <f t="shared" si="10"/>
        <v>426.14834360000009</v>
      </c>
      <c r="U30" s="473">
        <f t="shared" si="11"/>
        <v>2203.1640000000002</v>
      </c>
    </row>
    <row r="31" spans="2:21" x14ac:dyDescent="0.2">
      <c r="B31" s="608" t="s">
        <v>306</v>
      </c>
      <c r="C31" s="346">
        <v>2.5344600000000002</v>
      </c>
      <c r="D31" s="346">
        <v>7.7100400000000002</v>
      </c>
      <c r="E31" s="468">
        <v>8.5500000000000007</v>
      </c>
      <c r="F31" s="472">
        <f t="shared" si="6"/>
        <v>0.65920842000000013</v>
      </c>
      <c r="G31" s="473">
        <f t="shared" si="7"/>
        <v>10.2445</v>
      </c>
      <c r="I31" s="608" t="s">
        <v>306</v>
      </c>
      <c r="J31" s="346">
        <v>536.35400000000004</v>
      </c>
      <c r="K31" s="346">
        <v>2822.6860000000001</v>
      </c>
      <c r="L31" s="468">
        <v>10.39</v>
      </c>
      <c r="M31" s="472">
        <f t="shared" si="8"/>
        <v>293.27707540000006</v>
      </c>
      <c r="N31" s="473">
        <f t="shared" si="9"/>
        <v>3359.04</v>
      </c>
      <c r="P31" s="608" t="s">
        <v>306</v>
      </c>
      <c r="Q31" s="346">
        <v>2597.6170000000002</v>
      </c>
      <c r="R31" s="346">
        <v>6826.3419999999996</v>
      </c>
      <c r="S31" s="468">
        <v>10.94</v>
      </c>
      <c r="T31" s="472">
        <f t="shared" si="10"/>
        <v>746.80181479999999</v>
      </c>
      <c r="U31" s="473">
        <f t="shared" si="11"/>
        <v>9423.9589999999989</v>
      </c>
    </row>
    <row r="32" spans="2:21" x14ac:dyDescent="0.2">
      <c r="B32" s="609" t="s">
        <v>290</v>
      </c>
      <c r="C32" s="346">
        <v>3.00421</v>
      </c>
      <c r="D32" s="346">
        <v>5.1026300000000004</v>
      </c>
      <c r="E32" s="468">
        <v>12.79</v>
      </c>
      <c r="F32" s="472">
        <f t="shared" si="6"/>
        <v>0.65262637700000004</v>
      </c>
      <c r="G32" s="473">
        <f t="shared" si="7"/>
        <v>8.10684</v>
      </c>
      <c r="I32" s="609" t="s">
        <v>290</v>
      </c>
      <c r="J32" s="346">
        <v>701.005</v>
      </c>
      <c r="K32" s="346">
        <v>1162.385</v>
      </c>
      <c r="L32" s="468">
        <v>12.31</v>
      </c>
      <c r="M32" s="472">
        <f t="shared" si="8"/>
        <v>143.08959350000001</v>
      </c>
      <c r="N32" s="473">
        <f t="shared" si="9"/>
        <v>1863.3899999999999</v>
      </c>
      <c r="P32" s="609" t="s">
        <v>290</v>
      </c>
      <c r="Q32" s="346">
        <v>2461.973</v>
      </c>
      <c r="R32" s="346">
        <v>4037.9679999999998</v>
      </c>
      <c r="S32" s="468">
        <v>18.18</v>
      </c>
      <c r="T32" s="472">
        <f t="shared" si="10"/>
        <v>734.10258239999996</v>
      </c>
      <c r="U32" s="473">
        <f t="shared" si="11"/>
        <v>6499.9409999999998</v>
      </c>
    </row>
    <row r="33" spans="2:21" x14ac:dyDescent="0.2">
      <c r="B33" s="608" t="s">
        <v>291</v>
      </c>
      <c r="C33" s="346">
        <v>37.577539999999999</v>
      </c>
      <c r="D33" s="346">
        <v>23.771470000000001</v>
      </c>
      <c r="E33" s="468">
        <v>5.88</v>
      </c>
      <c r="F33" s="472">
        <f t="shared" si="6"/>
        <v>1.3977624360000001</v>
      </c>
      <c r="G33" s="473">
        <f t="shared" si="7"/>
        <v>61.34901</v>
      </c>
      <c r="I33" s="608" t="s">
        <v>291</v>
      </c>
      <c r="J33" s="346">
        <v>6610.5060000000003</v>
      </c>
      <c r="K33" s="346">
        <v>8211.4609999999993</v>
      </c>
      <c r="L33" s="468">
        <v>7.64</v>
      </c>
      <c r="M33" s="472">
        <f t="shared" si="8"/>
        <v>627.35562039999991</v>
      </c>
      <c r="N33" s="473">
        <f t="shared" si="9"/>
        <v>14821.967000000001</v>
      </c>
      <c r="P33" s="608" t="s">
        <v>291</v>
      </c>
      <c r="Q33" s="346">
        <v>58021.981</v>
      </c>
      <c r="R33" s="346">
        <v>28155.359</v>
      </c>
      <c r="S33" s="468">
        <v>9.49</v>
      </c>
      <c r="T33" s="472">
        <f t="shared" si="10"/>
        <v>2671.9435691000003</v>
      </c>
      <c r="U33" s="473">
        <f t="shared" si="11"/>
        <v>86177.34</v>
      </c>
    </row>
    <row r="34" spans="2:21" x14ac:dyDescent="0.2">
      <c r="B34" s="609" t="s">
        <v>292</v>
      </c>
      <c r="C34" s="346">
        <v>7.6618399999999998</v>
      </c>
      <c r="D34" s="346">
        <v>13.135069999999999</v>
      </c>
      <c r="E34" s="468">
        <v>5.31</v>
      </c>
      <c r="F34" s="472">
        <f t="shared" si="6"/>
        <v>0.69747221699999984</v>
      </c>
      <c r="G34" s="473">
        <f t="shared" si="7"/>
        <v>20.796909999999997</v>
      </c>
      <c r="I34" s="609" t="s">
        <v>292</v>
      </c>
      <c r="J34" s="346">
        <v>2183.2530000000002</v>
      </c>
      <c r="K34" s="346">
        <v>4713.0029999999997</v>
      </c>
      <c r="L34" s="468">
        <v>6.44</v>
      </c>
      <c r="M34" s="472">
        <f t="shared" si="8"/>
        <v>303.51739320000001</v>
      </c>
      <c r="N34" s="473">
        <f t="shared" si="9"/>
        <v>6896.2559999999994</v>
      </c>
      <c r="P34" s="609" t="s">
        <v>292</v>
      </c>
      <c r="Q34" s="346">
        <v>6295.808</v>
      </c>
      <c r="R34" s="346">
        <v>11965.755999999999</v>
      </c>
      <c r="S34" s="468">
        <v>9.36</v>
      </c>
      <c r="T34" s="472">
        <f t="shared" si="10"/>
        <v>1119.9947615999999</v>
      </c>
      <c r="U34" s="473">
        <f t="shared" si="11"/>
        <v>18261.563999999998</v>
      </c>
    </row>
    <row r="35" spans="2:21" x14ac:dyDescent="0.2">
      <c r="B35" s="608" t="s">
        <v>293</v>
      </c>
      <c r="C35" s="346">
        <v>1.1405399999999999</v>
      </c>
      <c r="D35" s="346">
        <v>14.0055</v>
      </c>
      <c r="E35" s="468">
        <v>5.93</v>
      </c>
      <c r="F35" s="472">
        <f t="shared" si="6"/>
        <v>0.83052614999999985</v>
      </c>
      <c r="G35" s="473">
        <f t="shared" si="7"/>
        <v>15.146039999999999</v>
      </c>
      <c r="I35" s="608" t="s">
        <v>293</v>
      </c>
      <c r="J35" s="346">
        <v>273.46699999999998</v>
      </c>
      <c r="K35" s="346">
        <v>5134.9880000000003</v>
      </c>
      <c r="L35" s="468">
        <v>7</v>
      </c>
      <c r="M35" s="472">
        <f t="shared" si="8"/>
        <v>359.44916000000006</v>
      </c>
      <c r="N35" s="473">
        <f t="shared" si="9"/>
        <v>5408.4549999999999</v>
      </c>
      <c r="P35" s="608" t="s">
        <v>293</v>
      </c>
      <c r="Q35" s="346">
        <v>825.09900000000005</v>
      </c>
      <c r="R35" s="346">
        <v>10385.531999999999</v>
      </c>
      <c r="S35" s="468">
        <v>10.029999999999999</v>
      </c>
      <c r="T35" s="472">
        <f t="shared" si="10"/>
        <v>1041.6688595999999</v>
      </c>
      <c r="U35" s="473">
        <f t="shared" si="11"/>
        <v>11210.630999999999</v>
      </c>
    </row>
    <row r="36" spans="2:21" x14ac:dyDescent="0.2">
      <c r="B36" s="609" t="s">
        <v>294</v>
      </c>
      <c r="C36" s="346">
        <v>6.0478100000000001</v>
      </c>
      <c r="D36" s="346">
        <v>14.57615</v>
      </c>
      <c r="E36" s="468">
        <v>5.34</v>
      </c>
      <c r="F36" s="472">
        <f t="shared" si="6"/>
        <v>0.77836640999999995</v>
      </c>
      <c r="G36" s="473">
        <f t="shared" si="7"/>
        <v>20.62396</v>
      </c>
      <c r="I36" s="609" t="s">
        <v>294</v>
      </c>
      <c r="J36" s="346">
        <v>1422.7909999999999</v>
      </c>
      <c r="K36" s="346">
        <v>6317.1670000000004</v>
      </c>
      <c r="L36" s="468">
        <v>8.24</v>
      </c>
      <c r="M36" s="472">
        <f t="shared" si="8"/>
        <v>520.53456080000001</v>
      </c>
      <c r="N36" s="473">
        <f t="shared" si="9"/>
        <v>7739.9580000000005</v>
      </c>
      <c r="P36" s="609" t="s">
        <v>294</v>
      </c>
      <c r="Q36" s="346">
        <v>4918.6819999999998</v>
      </c>
      <c r="R36" s="346">
        <v>10318.472</v>
      </c>
      <c r="S36" s="468">
        <v>8.02</v>
      </c>
      <c r="T36" s="472">
        <f t="shared" si="10"/>
        <v>827.54145439999991</v>
      </c>
      <c r="U36" s="473">
        <f t="shared" si="11"/>
        <v>15237.153999999999</v>
      </c>
    </row>
    <row r="37" spans="2:21" x14ac:dyDescent="0.2">
      <c r="B37" s="608" t="s">
        <v>295</v>
      </c>
      <c r="C37" s="346">
        <v>11.581440000000001</v>
      </c>
      <c r="D37" s="346">
        <v>18.497499999999999</v>
      </c>
      <c r="E37" s="468">
        <v>6.24</v>
      </c>
      <c r="F37" s="472">
        <f t="shared" si="6"/>
        <v>1.1542439999999998</v>
      </c>
      <c r="G37" s="473">
        <f t="shared" si="7"/>
        <v>30.078939999999999</v>
      </c>
      <c r="I37" s="608" t="s">
        <v>295</v>
      </c>
      <c r="J37" s="346">
        <v>3057.8180000000002</v>
      </c>
      <c r="K37" s="346">
        <v>8707.0329999999994</v>
      </c>
      <c r="L37" s="468">
        <v>9.33</v>
      </c>
      <c r="M37" s="472">
        <f t="shared" si="8"/>
        <v>812.36617889999991</v>
      </c>
      <c r="N37" s="473">
        <f t="shared" si="9"/>
        <v>11764.850999999999</v>
      </c>
      <c r="P37" s="608" t="s">
        <v>295</v>
      </c>
      <c r="Q37" s="346">
        <v>8521.9660000000003</v>
      </c>
      <c r="R37" s="346">
        <v>13060.883</v>
      </c>
      <c r="S37" s="468">
        <v>9.09</v>
      </c>
      <c r="T37" s="472">
        <f t="shared" si="10"/>
        <v>1187.2342646999998</v>
      </c>
      <c r="U37" s="473">
        <f t="shared" si="11"/>
        <v>21582.849000000002</v>
      </c>
    </row>
    <row r="38" spans="2:21" ht="13.5" thickBot="1" x14ac:dyDescent="0.25">
      <c r="B38" s="604" t="s">
        <v>296</v>
      </c>
      <c r="C38" s="352">
        <v>13.151479999999999</v>
      </c>
      <c r="D38" s="352">
        <v>18.289249999999999</v>
      </c>
      <c r="E38" s="469">
        <v>4.3099999999999996</v>
      </c>
      <c r="F38" s="474">
        <f t="shared" si="6"/>
        <v>0.78826667499999981</v>
      </c>
      <c r="G38" s="475">
        <f t="shared" si="7"/>
        <v>31.440729999999999</v>
      </c>
      <c r="I38" s="604" t="s">
        <v>296</v>
      </c>
      <c r="J38" s="352">
        <v>2406.424</v>
      </c>
      <c r="K38" s="352">
        <v>5977.9780000000001</v>
      </c>
      <c r="L38" s="469">
        <v>6.12</v>
      </c>
      <c r="M38" s="474">
        <f t="shared" si="8"/>
        <v>365.85225360000004</v>
      </c>
      <c r="N38" s="475">
        <f t="shared" si="9"/>
        <v>8384.402</v>
      </c>
      <c r="P38" s="604" t="s">
        <v>296</v>
      </c>
      <c r="Q38" s="352">
        <v>13108.904</v>
      </c>
      <c r="R38" s="352">
        <v>18485.322</v>
      </c>
      <c r="S38" s="469">
        <v>6.7</v>
      </c>
      <c r="T38" s="474">
        <f t="shared" si="10"/>
        <v>1238.5165740000002</v>
      </c>
      <c r="U38" s="475">
        <f t="shared" si="11"/>
        <v>31594.226000000002</v>
      </c>
    </row>
    <row r="41" spans="2:21" ht="38.25" customHeight="1" x14ac:dyDescent="0.2">
      <c r="B41" s="1024" t="s">
        <v>731</v>
      </c>
      <c r="C41" s="1025"/>
      <c r="D41" s="1025"/>
      <c r="E41" s="1025"/>
      <c r="F41" s="1025"/>
      <c r="G41" s="1025"/>
      <c r="I41" s="1024" t="s">
        <v>730</v>
      </c>
      <c r="J41" s="1025"/>
      <c r="K41" s="1025"/>
      <c r="L41" s="1025"/>
      <c r="M41" s="1025"/>
      <c r="N41" s="1025"/>
      <c r="P41" s="1024" t="s">
        <v>765</v>
      </c>
      <c r="Q41" s="1025"/>
      <c r="R41" s="1025"/>
      <c r="S41" s="1025"/>
      <c r="T41" s="1025"/>
      <c r="U41" s="1025"/>
    </row>
    <row r="42" spans="2:21" ht="13.5" thickBot="1" x14ac:dyDescent="0.25">
      <c r="B42" s="614"/>
      <c r="C42" s="614" t="s">
        <v>78</v>
      </c>
      <c r="D42" s="614" t="s">
        <v>309</v>
      </c>
      <c r="E42" s="619" t="s">
        <v>82</v>
      </c>
      <c r="F42" s="614" t="s">
        <v>310</v>
      </c>
      <c r="G42" s="614" t="s">
        <v>486</v>
      </c>
      <c r="I42" s="614"/>
      <c r="J42" s="614" t="s">
        <v>78</v>
      </c>
      <c r="K42" s="614" t="s">
        <v>309</v>
      </c>
      <c r="L42" s="619" t="s">
        <v>82</v>
      </c>
      <c r="M42" s="614" t="s">
        <v>310</v>
      </c>
      <c r="N42" s="614" t="s">
        <v>486</v>
      </c>
      <c r="P42" s="614"/>
      <c r="Q42" s="614" t="s">
        <v>78</v>
      </c>
      <c r="R42" s="614" t="s">
        <v>309</v>
      </c>
      <c r="S42" s="619" t="s">
        <v>82</v>
      </c>
      <c r="T42" s="614" t="s">
        <v>310</v>
      </c>
      <c r="U42" s="614" t="s">
        <v>486</v>
      </c>
    </row>
    <row r="43" spans="2:21" x14ac:dyDescent="0.2">
      <c r="B43" s="612" t="s">
        <v>721</v>
      </c>
      <c r="C43" s="618">
        <v>53.660849999999996</v>
      </c>
      <c r="D43" s="618">
        <v>838.83070999999995</v>
      </c>
      <c r="E43" s="617">
        <v>0.83000155512029494</v>
      </c>
      <c r="F43" s="616">
        <f t="shared" ref="F43:F57" si="12">D43*E43/100</f>
        <v>6.9623079378266111</v>
      </c>
      <c r="G43" s="615">
        <f t="shared" ref="G43:G57" si="13">C43+D43</f>
        <v>892.49155999999994</v>
      </c>
      <c r="I43" s="612" t="s">
        <v>721</v>
      </c>
      <c r="J43" s="618">
        <v>8760.9670000000006</v>
      </c>
      <c r="K43" s="618">
        <v>169181.13</v>
      </c>
      <c r="L43" s="617">
        <v>1.6188044985800498</v>
      </c>
      <c r="M43" s="616">
        <f t="shared" ref="M43:M57" si="14">K43*L43/100</f>
        <v>2738.7117431885622</v>
      </c>
      <c r="N43" s="615">
        <f t="shared" ref="N43:N57" si="15">J43+K43</f>
        <v>177942.09700000001</v>
      </c>
      <c r="P43" s="612" t="s">
        <v>721</v>
      </c>
      <c r="Q43" s="618">
        <v>58204.506999999998</v>
      </c>
      <c r="R43" s="618">
        <v>983274.19900000002</v>
      </c>
      <c r="S43" s="617">
        <v>1.365053762885452</v>
      </c>
      <c r="T43" s="616">
        <f t="shared" ref="T43:T57" si="16">R43*S43/100</f>
        <v>13422.221452931286</v>
      </c>
      <c r="U43" s="615">
        <f t="shared" ref="U43:U57" si="17">Q43+R43</f>
        <v>1041478.706</v>
      </c>
    </row>
    <row r="44" spans="2:21" x14ac:dyDescent="0.2">
      <c r="B44" s="608" t="s">
        <v>286</v>
      </c>
      <c r="C44" s="346">
        <v>2.7056399999999998</v>
      </c>
      <c r="D44" s="346">
        <v>42.14284</v>
      </c>
      <c r="E44" s="468">
        <v>2.77</v>
      </c>
      <c r="F44" s="472">
        <f t="shared" si="12"/>
        <v>1.167356668</v>
      </c>
      <c r="G44" s="473">
        <f t="shared" si="13"/>
        <v>44.848480000000002</v>
      </c>
      <c r="I44" s="608" t="s">
        <v>286</v>
      </c>
      <c r="J44" s="346">
        <v>347.90800000000002</v>
      </c>
      <c r="K44" s="346">
        <v>7377.8130000000001</v>
      </c>
      <c r="L44" s="468">
        <v>6.37</v>
      </c>
      <c r="M44" s="472">
        <f t="shared" si="14"/>
        <v>469.96668810000006</v>
      </c>
      <c r="N44" s="473">
        <f t="shared" si="15"/>
        <v>7725.7210000000005</v>
      </c>
      <c r="P44" s="608" t="s">
        <v>286</v>
      </c>
      <c r="Q44" s="346">
        <v>4478.9949999999999</v>
      </c>
      <c r="R44" s="346">
        <v>45012.286999999997</v>
      </c>
      <c r="S44" s="468">
        <v>5.59</v>
      </c>
      <c r="T44" s="472">
        <f t="shared" si="16"/>
        <v>2516.1868433</v>
      </c>
      <c r="U44" s="473">
        <f t="shared" si="17"/>
        <v>49491.281999999999</v>
      </c>
    </row>
    <row r="45" spans="2:21" x14ac:dyDescent="0.2">
      <c r="B45" s="609" t="s">
        <v>307</v>
      </c>
      <c r="C45" s="346">
        <v>2.2127600000000003</v>
      </c>
      <c r="D45" s="346">
        <v>79.515889999999999</v>
      </c>
      <c r="E45" s="468">
        <v>2.44</v>
      </c>
      <c r="F45" s="472">
        <f t="shared" si="12"/>
        <v>1.9401877159999998</v>
      </c>
      <c r="G45" s="473">
        <f t="shared" si="13"/>
        <v>81.728650000000002</v>
      </c>
      <c r="I45" s="609" t="s">
        <v>307</v>
      </c>
      <c r="J45" s="346">
        <v>293.49099999999999</v>
      </c>
      <c r="K45" s="346">
        <v>17157.629000000001</v>
      </c>
      <c r="L45" s="468">
        <v>5.69</v>
      </c>
      <c r="M45" s="472">
        <f t="shared" si="14"/>
        <v>976.2690901000002</v>
      </c>
      <c r="N45" s="473">
        <f t="shared" si="15"/>
        <v>17451.120000000003</v>
      </c>
      <c r="P45" s="609" t="s">
        <v>307</v>
      </c>
      <c r="Q45" s="346">
        <v>2587.0569999999998</v>
      </c>
      <c r="R45" s="346">
        <v>98449.111000000004</v>
      </c>
      <c r="S45" s="468">
        <v>4.21</v>
      </c>
      <c r="T45" s="472">
        <f t="shared" si="16"/>
        <v>4144.7075731000004</v>
      </c>
      <c r="U45" s="473">
        <f t="shared" si="17"/>
        <v>101036.16800000001</v>
      </c>
    </row>
    <row r="46" spans="2:21" x14ac:dyDescent="0.2">
      <c r="B46" s="608" t="s">
        <v>287</v>
      </c>
      <c r="C46" s="346">
        <v>4.1018500000000007</v>
      </c>
      <c r="D46" s="346">
        <v>86.757109999999997</v>
      </c>
      <c r="E46" s="468">
        <v>2.0299999999999998</v>
      </c>
      <c r="F46" s="472">
        <f t="shared" si="12"/>
        <v>1.7611693329999998</v>
      </c>
      <c r="G46" s="473">
        <f t="shared" si="13"/>
        <v>90.858959999999996</v>
      </c>
      <c r="I46" s="608" t="s">
        <v>287</v>
      </c>
      <c r="J46" s="346">
        <v>538.20299999999997</v>
      </c>
      <c r="K46" s="346">
        <v>15643.007</v>
      </c>
      <c r="L46" s="468">
        <v>5.31</v>
      </c>
      <c r="M46" s="472">
        <f t="shared" si="14"/>
        <v>830.64367170000003</v>
      </c>
      <c r="N46" s="473">
        <f t="shared" si="15"/>
        <v>16181.21</v>
      </c>
      <c r="P46" s="608" t="s">
        <v>287</v>
      </c>
      <c r="Q46" s="346">
        <v>4193.1610000000001</v>
      </c>
      <c r="R46" s="346">
        <v>95460.7</v>
      </c>
      <c r="S46" s="468">
        <v>4.79</v>
      </c>
      <c r="T46" s="472">
        <f t="shared" si="16"/>
        <v>4572.5675299999994</v>
      </c>
      <c r="U46" s="473">
        <f t="shared" si="17"/>
        <v>99653.861000000004</v>
      </c>
    </row>
    <row r="47" spans="2:21" x14ac:dyDescent="0.2">
      <c r="B47" s="609" t="s">
        <v>288</v>
      </c>
      <c r="C47" s="346">
        <v>2.0144700000000002</v>
      </c>
      <c r="D47" s="346">
        <v>37.045209999999997</v>
      </c>
      <c r="E47" s="468">
        <v>2.93</v>
      </c>
      <c r="F47" s="472">
        <f t="shared" si="12"/>
        <v>1.085424653</v>
      </c>
      <c r="G47" s="473">
        <f t="shared" si="13"/>
        <v>39.05968</v>
      </c>
      <c r="I47" s="609" t="s">
        <v>288</v>
      </c>
      <c r="J47" s="346">
        <v>220.55799999999999</v>
      </c>
      <c r="K47" s="346">
        <v>5928.0720000000001</v>
      </c>
      <c r="L47" s="468">
        <v>9.48</v>
      </c>
      <c r="M47" s="472">
        <f t="shared" si="14"/>
        <v>561.98122560000002</v>
      </c>
      <c r="N47" s="473">
        <f t="shared" si="15"/>
        <v>6148.63</v>
      </c>
      <c r="P47" s="609" t="s">
        <v>288</v>
      </c>
      <c r="Q47" s="346">
        <v>1377.17</v>
      </c>
      <c r="R47" s="346">
        <v>40045.226000000002</v>
      </c>
      <c r="S47" s="468">
        <v>7.34</v>
      </c>
      <c r="T47" s="472">
        <f t="shared" si="16"/>
        <v>2939.3195884000002</v>
      </c>
      <c r="U47" s="473">
        <f t="shared" si="17"/>
        <v>41422.396000000001</v>
      </c>
    </row>
    <row r="48" spans="2:21" x14ac:dyDescent="0.2">
      <c r="B48" s="608" t="s">
        <v>305</v>
      </c>
      <c r="C48" s="346">
        <v>0.63409000000000004</v>
      </c>
      <c r="D48" s="346">
        <v>23.61544</v>
      </c>
      <c r="E48" s="468">
        <v>17.37</v>
      </c>
      <c r="F48" s="472">
        <f t="shared" si="12"/>
        <v>4.102001928</v>
      </c>
      <c r="G48" s="473">
        <f t="shared" si="13"/>
        <v>24.24953</v>
      </c>
      <c r="I48" s="608" t="s">
        <v>305</v>
      </c>
      <c r="J48" s="346">
        <v>51.53</v>
      </c>
      <c r="K48" s="346">
        <v>3994.7280000000001</v>
      </c>
      <c r="L48" s="468">
        <v>14.1</v>
      </c>
      <c r="M48" s="472">
        <f t="shared" si="14"/>
        <v>563.25664800000004</v>
      </c>
      <c r="N48" s="473">
        <f t="shared" si="15"/>
        <v>4046.2580000000003</v>
      </c>
      <c r="P48" s="608" t="s">
        <v>305</v>
      </c>
      <c r="Q48" s="346">
        <v>712.92</v>
      </c>
      <c r="R48" s="346">
        <v>20975.358</v>
      </c>
      <c r="S48" s="468">
        <v>11.96</v>
      </c>
      <c r="T48" s="472">
        <f t="shared" si="16"/>
        <v>2508.6528168</v>
      </c>
      <c r="U48" s="473">
        <f t="shared" si="17"/>
        <v>21688.277999999998</v>
      </c>
    </row>
    <row r="49" spans="2:21" x14ac:dyDescent="0.2">
      <c r="B49" s="609" t="s">
        <v>289</v>
      </c>
      <c r="C49" s="346">
        <v>0.50458000000000003</v>
      </c>
      <c r="D49" s="346">
        <v>29.561889999999998</v>
      </c>
      <c r="E49" s="468">
        <v>2.68</v>
      </c>
      <c r="F49" s="472">
        <f t="shared" si="12"/>
        <v>0.79225865200000001</v>
      </c>
      <c r="G49" s="473">
        <f t="shared" si="13"/>
        <v>30.066469999999999</v>
      </c>
      <c r="I49" s="609" t="s">
        <v>289</v>
      </c>
      <c r="J49" s="346">
        <v>56.539000000000001</v>
      </c>
      <c r="K49" s="346">
        <v>5432.7039999999997</v>
      </c>
      <c r="L49" s="468">
        <v>14.36</v>
      </c>
      <c r="M49" s="472">
        <f t="shared" si="14"/>
        <v>780.13629439999988</v>
      </c>
      <c r="N49" s="473">
        <f t="shared" si="15"/>
        <v>5489.2429999999995</v>
      </c>
      <c r="P49" s="609" t="s">
        <v>289</v>
      </c>
      <c r="Q49" s="346">
        <v>462.83800000000002</v>
      </c>
      <c r="R49" s="346">
        <v>27508.71</v>
      </c>
      <c r="S49" s="468">
        <v>7.28</v>
      </c>
      <c r="T49" s="472">
        <f t="shared" si="16"/>
        <v>2002.634088</v>
      </c>
      <c r="U49" s="473">
        <f t="shared" si="17"/>
        <v>27971.547999999999</v>
      </c>
    </row>
    <row r="50" spans="2:21" x14ac:dyDescent="0.2">
      <c r="B50" s="608" t="s">
        <v>306</v>
      </c>
      <c r="C50" s="346">
        <v>2.83935</v>
      </c>
      <c r="D50" s="346">
        <v>83.496759999999995</v>
      </c>
      <c r="E50" s="468">
        <v>3.14</v>
      </c>
      <c r="F50" s="472">
        <f t="shared" si="12"/>
        <v>2.6217982639999997</v>
      </c>
      <c r="G50" s="473">
        <f t="shared" si="13"/>
        <v>86.336109999999991</v>
      </c>
      <c r="I50" s="608" t="s">
        <v>306</v>
      </c>
      <c r="J50" s="346">
        <v>358.00900000000001</v>
      </c>
      <c r="K50" s="346">
        <v>16863.766</v>
      </c>
      <c r="L50" s="468">
        <v>4.92</v>
      </c>
      <c r="M50" s="472">
        <f t="shared" si="14"/>
        <v>829.69728720000001</v>
      </c>
      <c r="N50" s="473">
        <f t="shared" si="15"/>
        <v>17221.775000000001</v>
      </c>
      <c r="P50" s="608" t="s">
        <v>306</v>
      </c>
      <c r="Q50" s="346">
        <v>3903.6309999999999</v>
      </c>
      <c r="R50" s="346">
        <v>121344.743</v>
      </c>
      <c r="S50" s="468">
        <v>4.88</v>
      </c>
      <c r="T50" s="472">
        <f t="shared" si="16"/>
        <v>5921.6234583999994</v>
      </c>
      <c r="U50" s="473">
        <f t="shared" si="17"/>
        <v>125248.374</v>
      </c>
    </row>
    <row r="51" spans="2:21" x14ac:dyDescent="0.2">
      <c r="B51" s="609" t="s">
        <v>290</v>
      </c>
      <c r="C51" s="346">
        <v>5.6926099999999993</v>
      </c>
      <c r="D51" s="346">
        <v>33.064999999999998</v>
      </c>
      <c r="E51" s="468">
        <v>2.74</v>
      </c>
      <c r="F51" s="472">
        <f t="shared" si="12"/>
        <v>0.90598100000000004</v>
      </c>
      <c r="G51" s="473">
        <f t="shared" si="13"/>
        <v>38.75761</v>
      </c>
      <c r="I51" s="609" t="s">
        <v>290</v>
      </c>
      <c r="J51" s="346">
        <v>784.07899999999995</v>
      </c>
      <c r="K51" s="346">
        <v>6620.7129999999997</v>
      </c>
      <c r="L51" s="468">
        <v>7.47</v>
      </c>
      <c r="M51" s="472">
        <f t="shared" si="14"/>
        <v>494.56726109999994</v>
      </c>
      <c r="N51" s="473">
        <f t="shared" si="15"/>
        <v>7404.7919999999995</v>
      </c>
      <c r="P51" s="609" t="s">
        <v>290</v>
      </c>
      <c r="Q51" s="346">
        <v>7589.9960000000001</v>
      </c>
      <c r="R51" s="346">
        <v>38591.752999999997</v>
      </c>
      <c r="S51" s="468">
        <v>6.45</v>
      </c>
      <c r="T51" s="472">
        <f t="shared" si="16"/>
        <v>2489.1680685000001</v>
      </c>
      <c r="U51" s="473">
        <f t="shared" si="17"/>
        <v>46181.748999999996</v>
      </c>
    </row>
    <row r="52" spans="2:21" x14ac:dyDescent="0.2">
      <c r="B52" s="608" t="s">
        <v>291</v>
      </c>
      <c r="C52" s="346">
        <v>2.5495999999999999</v>
      </c>
      <c r="D52" s="346">
        <v>36.332360000000001</v>
      </c>
      <c r="E52" s="468">
        <v>4.5199999999999996</v>
      </c>
      <c r="F52" s="472">
        <f t="shared" si="12"/>
        <v>1.6422226719999999</v>
      </c>
      <c r="G52" s="473">
        <f t="shared" si="13"/>
        <v>38.881959999999999</v>
      </c>
      <c r="I52" s="608" t="s">
        <v>291</v>
      </c>
      <c r="J52" s="346">
        <v>120.61</v>
      </c>
      <c r="K52" s="346">
        <v>5436.1059999999998</v>
      </c>
      <c r="L52" s="468">
        <v>7.43</v>
      </c>
      <c r="M52" s="472">
        <f t="shared" si="14"/>
        <v>403.9026758</v>
      </c>
      <c r="N52" s="473">
        <f t="shared" si="15"/>
        <v>5556.7159999999994</v>
      </c>
      <c r="P52" s="608" t="s">
        <v>291</v>
      </c>
      <c r="Q52" s="346">
        <v>2677.2739999999999</v>
      </c>
      <c r="R52" s="346">
        <v>47697.063000000002</v>
      </c>
      <c r="S52" s="468">
        <v>7.43</v>
      </c>
      <c r="T52" s="472">
        <f t="shared" si="16"/>
        <v>3543.8917809</v>
      </c>
      <c r="U52" s="473">
        <f t="shared" si="17"/>
        <v>50374.337</v>
      </c>
    </row>
    <row r="53" spans="2:21" x14ac:dyDescent="0.2">
      <c r="B53" s="609" t="s">
        <v>292</v>
      </c>
      <c r="C53" s="346">
        <v>13.469959999999999</v>
      </c>
      <c r="D53" s="346">
        <v>79.923190000000005</v>
      </c>
      <c r="E53" s="468">
        <v>1.91</v>
      </c>
      <c r="F53" s="472">
        <f t="shared" si="12"/>
        <v>1.526532929</v>
      </c>
      <c r="G53" s="473">
        <f t="shared" si="13"/>
        <v>93.393150000000006</v>
      </c>
      <c r="I53" s="609" t="s">
        <v>292</v>
      </c>
      <c r="J53" s="346">
        <v>3557.924</v>
      </c>
      <c r="K53" s="346">
        <v>18296.802</v>
      </c>
      <c r="L53" s="468">
        <v>3.74</v>
      </c>
      <c r="M53" s="472">
        <f t="shared" si="14"/>
        <v>684.30039480000005</v>
      </c>
      <c r="N53" s="473">
        <f t="shared" si="15"/>
        <v>21854.725999999999</v>
      </c>
      <c r="P53" s="609" t="s">
        <v>292</v>
      </c>
      <c r="Q53" s="346">
        <v>12595.567999999999</v>
      </c>
      <c r="R53" s="346">
        <v>96279.448000000004</v>
      </c>
      <c r="S53" s="468">
        <v>3.61</v>
      </c>
      <c r="T53" s="472">
        <f t="shared" si="16"/>
        <v>3475.6880728000001</v>
      </c>
      <c r="U53" s="473">
        <f t="shared" si="17"/>
        <v>108875.016</v>
      </c>
    </row>
    <row r="54" spans="2:21" x14ac:dyDescent="0.2">
      <c r="B54" s="608" t="s">
        <v>293</v>
      </c>
      <c r="C54" s="346">
        <v>1.42235</v>
      </c>
      <c r="D54" s="346">
        <v>72.163589999999999</v>
      </c>
      <c r="E54" s="468">
        <v>1.51</v>
      </c>
      <c r="F54" s="472">
        <f t="shared" si="12"/>
        <v>1.0896702089999999</v>
      </c>
      <c r="G54" s="473">
        <f t="shared" si="13"/>
        <v>73.585939999999994</v>
      </c>
      <c r="I54" s="608" t="s">
        <v>293</v>
      </c>
      <c r="J54" s="346">
        <v>219.81800000000001</v>
      </c>
      <c r="K54" s="346">
        <v>16471.534</v>
      </c>
      <c r="L54" s="468">
        <v>3.95</v>
      </c>
      <c r="M54" s="472">
        <f t="shared" si="14"/>
        <v>650.62559299999998</v>
      </c>
      <c r="N54" s="473">
        <f t="shared" si="15"/>
        <v>16691.351999999999</v>
      </c>
      <c r="P54" s="608" t="s">
        <v>293</v>
      </c>
      <c r="Q54" s="346">
        <v>1660.3109999999999</v>
      </c>
      <c r="R54" s="346">
        <v>81289.407999999996</v>
      </c>
      <c r="S54" s="468">
        <v>3.99</v>
      </c>
      <c r="T54" s="472">
        <f t="shared" si="16"/>
        <v>3243.4473791999999</v>
      </c>
      <c r="U54" s="473">
        <f t="shared" si="17"/>
        <v>82949.718999999997</v>
      </c>
    </row>
    <row r="55" spans="2:21" x14ac:dyDescent="0.2">
      <c r="B55" s="609" t="s">
        <v>294</v>
      </c>
      <c r="C55" s="346">
        <v>4.7088700000000001</v>
      </c>
      <c r="D55" s="346">
        <v>75.695740000000001</v>
      </c>
      <c r="E55" s="468">
        <v>2.08</v>
      </c>
      <c r="F55" s="472">
        <f t="shared" si="12"/>
        <v>1.5744713920000002</v>
      </c>
      <c r="G55" s="473">
        <f t="shared" si="13"/>
        <v>80.404610000000005</v>
      </c>
      <c r="I55" s="609" t="s">
        <v>294</v>
      </c>
      <c r="J55" s="346">
        <v>776.69600000000003</v>
      </c>
      <c r="K55" s="346">
        <v>17087.502</v>
      </c>
      <c r="L55" s="468">
        <v>5.19</v>
      </c>
      <c r="M55" s="472">
        <f t="shared" si="14"/>
        <v>886.84135380000009</v>
      </c>
      <c r="N55" s="473">
        <f t="shared" si="15"/>
        <v>17864.198</v>
      </c>
      <c r="P55" s="609" t="s">
        <v>294</v>
      </c>
      <c r="Q55" s="346">
        <v>3998.9029999999998</v>
      </c>
      <c r="R55" s="346">
        <v>86019.127999999997</v>
      </c>
      <c r="S55" s="468">
        <v>4.0599999999999996</v>
      </c>
      <c r="T55" s="472">
        <f t="shared" si="16"/>
        <v>3492.3765967999998</v>
      </c>
      <c r="U55" s="473">
        <f t="shared" si="17"/>
        <v>90018.031000000003</v>
      </c>
    </row>
    <row r="56" spans="2:21" x14ac:dyDescent="0.2">
      <c r="B56" s="608" t="s">
        <v>295</v>
      </c>
      <c r="C56" s="346">
        <v>7.87758</v>
      </c>
      <c r="D56" s="346">
        <v>93.086910000000003</v>
      </c>
      <c r="E56" s="468">
        <v>1.87</v>
      </c>
      <c r="F56" s="472">
        <f t="shared" si="12"/>
        <v>1.740725217</v>
      </c>
      <c r="G56" s="473">
        <f t="shared" si="13"/>
        <v>100.96449</v>
      </c>
      <c r="I56" s="608" t="s">
        <v>295</v>
      </c>
      <c r="J56" s="346">
        <v>1104.704</v>
      </c>
      <c r="K56" s="346">
        <v>21614.151999999998</v>
      </c>
      <c r="L56" s="468">
        <v>5.39</v>
      </c>
      <c r="M56" s="472">
        <f t="shared" si="14"/>
        <v>1165.0027928</v>
      </c>
      <c r="N56" s="473">
        <f t="shared" si="15"/>
        <v>22718.856</v>
      </c>
      <c r="P56" s="608" t="s">
        <v>295</v>
      </c>
      <c r="Q56" s="346">
        <v>9078.16</v>
      </c>
      <c r="R56" s="346">
        <v>109116.84299999999</v>
      </c>
      <c r="S56" s="468">
        <v>4.0199999999999996</v>
      </c>
      <c r="T56" s="472">
        <f t="shared" si="16"/>
        <v>4386.4970885999992</v>
      </c>
      <c r="U56" s="473">
        <f t="shared" si="17"/>
        <v>118195.003</v>
      </c>
    </row>
    <row r="57" spans="2:21" ht="13.5" thickBot="1" x14ac:dyDescent="0.25">
      <c r="B57" s="604" t="s">
        <v>296</v>
      </c>
      <c r="C57" s="352">
        <v>2.9271400000000001</v>
      </c>
      <c r="D57" s="352">
        <v>66.428780000000003</v>
      </c>
      <c r="E57" s="469">
        <v>2.23</v>
      </c>
      <c r="F57" s="474">
        <f t="shared" si="12"/>
        <v>1.4813617940000001</v>
      </c>
      <c r="G57" s="475">
        <f t="shared" si="13"/>
        <v>69.355919999999998</v>
      </c>
      <c r="I57" s="604" t="s">
        <v>296</v>
      </c>
      <c r="J57" s="352">
        <v>330.89800000000002</v>
      </c>
      <c r="K57" s="352">
        <v>11256.602000000001</v>
      </c>
      <c r="L57" s="469">
        <v>4.5599999999999996</v>
      </c>
      <c r="M57" s="474">
        <f t="shared" si="14"/>
        <v>513.30105119999996</v>
      </c>
      <c r="N57" s="475">
        <f t="shared" si="15"/>
        <v>11587.5</v>
      </c>
      <c r="P57" s="604" t="s">
        <v>296</v>
      </c>
      <c r="Q57" s="352">
        <v>2888.5230000000001</v>
      </c>
      <c r="R57" s="352">
        <v>75484.421000000002</v>
      </c>
      <c r="S57" s="469">
        <v>3.96</v>
      </c>
      <c r="T57" s="474">
        <f t="shared" si="16"/>
        <v>2989.1830716000004</v>
      </c>
      <c r="U57" s="475">
        <f t="shared" si="17"/>
        <v>78372.944000000003</v>
      </c>
    </row>
    <row r="60" spans="2:21" ht="38.25" customHeight="1" x14ac:dyDescent="0.2">
      <c r="B60" s="1024" t="s">
        <v>746</v>
      </c>
      <c r="C60" s="1025"/>
      <c r="D60" s="1025"/>
      <c r="E60" s="1025"/>
      <c r="F60" s="1025"/>
      <c r="G60" s="1025"/>
      <c r="I60" s="1024" t="s">
        <v>747</v>
      </c>
      <c r="J60" s="1025"/>
      <c r="K60" s="1025"/>
      <c r="L60" s="1025"/>
      <c r="M60" s="1025"/>
      <c r="N60" s="1025"/>
      <c r="P60" s="1024" t="s">
        <v>748</v>
      </c>
      <c r="Q60" s="1025"/>
      <c r="R60" s="1025"/>
      <c r="S60" s="1025"/>
      <c r="T60" s="1025"/>
      <c r="U60" s="1025"/>
    </row>
    <row r="61" spans="2:21" ht="13.5" thickBot="1" x14ac:dyDescent="0.25">
      <c r="B61" s="614"/>
      <c r="C61" s="614" t="s">
        <v>78</v>
      </c>
      <c r="D61" s="614" t="s">
        <v>309</v>
      </c>
      <c r="E61" s="619" t="s">
        <v>82</v>
      </c>
      <c r="F61" s="614" t="s">
        <v>310</v>
      </c>
      <c r="G61" s="614" t="s">
        <v>486</v>
      </c>
      <c r="I61" s="614"/>
      <c r="J61" s="614" t="s">
        <v>78</v>
      </c>
      <c r="K61" s="614" t="s">
        <v>309</v>
      </c>
      <c r="L61" s="619" t="s">
        <v>82</v>
      </c>
      <c r="M61" s="614" t="s">
        <v>310</v>
      </c>
      <c r="N61" s="614" t="s">
        <v>486</v>
      </c>
      <c r="P61" s="614"/>
      <c r="Q61" s="614" t="s">
        <v>78</v>
      </c>
      <c r="R61" s="614" t="s">
        <v>309</v>
      </c>
      <c r="S61" s="619" t="s">
        <v>82</v>
      </c>
      <c r="T61" s="614" t="s">
        <v>310</v>
      </c>
      <c r="U61" s="614" t="s">
        <v>486</v>
      </c>
    </row>
    <row r="62" spans="2:21" x14ac:dyDescent="0.2">
      <c r="B62" s="612" t="s">
        <v>721</v>
      </c>
      <c r="C62" s="618">
        <v>0.83292999999999995</v>
      </c>
      <c r="D62" s="618">
        <v>29.271480000000004</v>
      </c>
      <c r="E62" s="617">
        <v>7.1523689695188057</v>
      </c>
      <c r="F62" s="616">
        <f t="shared" ref="F62:F76" si="18">D62*E62/100</f>
        <v>2.0936042524389036</v>
      </c>
      <c r="G62" s="615">
        <f t="shared" ref="G62:G76" si="19">C62+D62</f>
        <v>30.104410000000005</v>
      </c>
      <c r="I62" s="612" t="s">
        <v>721</v>
      </c>
      <c r="J62" s="618">
        <v>126.63800000000001</v>
      </c>
      <c r="K62" s="618">
        <v>16253.43</v>
      </c>
      <c r="L62" s="617">
        <v>8.6048188787624422</v>
      </c>
      <c r="M62" s="616">
        <f t="shared" ref="M62:M76" si="20">K62*L62/100</f>
        <v>1398.5782130864384</v>
      </c>
      <c r="N62" s="615">
        <f t="shared" ref="N62:N76" si="21">J62+K62</f>
        <v>16380.068000000001</v>
      </c>
      <c r="P62" s="612" t="s">
        <v>721</v>
      </c>
      <c r="Q62" s="618">
        <v>1347.2370000000001</v>
      </c>
      <c r="R62" s="618">
        <v>44683.402999999998</v>
      </c>
      <c r="S62" s="617">
        <v>10.125367505067075</v>
      </c>
      <c r="T62" s="616">
        <f t="shared" ref="T62:T76" si="22">R62*S62/100</f>
        <v>4524.358767520167</v>
      </c>
      <c r="U62" s="615">
        <f t="shared" ref="U62:U76" si="23">Q62+R62</f>
        <v>46030.64</v>
      </c>
    </row>
    <row r="63" spans="2:21" x14ac:dyDescent="0.2">
      <c r="B63" s="608" t="s">
        <v>286</v>
      </c>
      <c r="C63" s="346">
        <v>0</v>
      </c>
      <c r="D63" s="346">
        <v>5.9000000000000007E-3</v>
      </c>
      <c r="E63" s="468">
        <v>89.15</v>
      </c>
      <c r="F63" s="472">
        <f t="shared" si="18"/>
        <v>5.2598500000000017E-3</v>
      </c>
      <c r="G63" s="473">
        <f t="shared" si="19"/>
        <v>5.9000000000000007E-3</v>
      </c>
      <c r="I63" s="608" t="s">
        <v>286</v>
      </c>
      <c r="J63" s="346">
        <v>0</v>
      </c>
      <c r="K63" s="346">
        <v>1168.6690000000001</v>
      </c>
      <c r="L63" s="468">
        <v>89.15</v>
      </c>
      <c r="M63" s="472">
        <f t="shared" si="20"/>
        <v>1041.8684135000001</v>
      </c>
      <c r="N63" s="473">
        <f t="shared" si="21"/>
        <v>1168.6690000000001</v>
      </c>
      <c r="P63" s="608" t="s">
        <v>286</v>
      </c>
      <c r="Q63" s="346">
        <v>0</v>
      </c>
      <c r="R63" s="346">
        <v>0.28299999999999997</v>
      </c>
      <c r="S63" s="468">
        <v>89.15</v>
      </c>
      <c r="T63" s="472">
        <f t="shared" si="22"/>
        <v>0.25229449999999998</v>
      </c>
      <c r="U63" s="473">
        <f t="shared" si="23"/>
        <v>0.28299999999999997</v>
      </c>
    </row>
    <row r="64" spans="2:21" x14ac:dyDescent="0.2">
      <c r="B64" s="609" t="s">
        <v>307</v>
      </c>
      <c r="C64" s="346">
        <v>2.307E-2</v>
      </c>
      <c r="D64" s="346">
        <v>2.6283600000000003</v>
      </c>
      <c r="E64" s="468">
        <v>21.19</v>
      </c>
      <c r="F64" s="472">
        <f t="shared" si="18"/>
        <v>0.55694948400000011</v>
      </c>
      <c r="G64" s="473">
        <f t="shared" si="19"/>
        <v>2.6514300000000004</v>
      </c>
      <c r="I64" s="609" t="s">
        <v>307</v>
      </c>
      <c r="J64" s="346">
        <v>4.4180000000000001</v>
      </c>
      <c r="K64" s="346">
        <v>1518.5509999999999</v>
      </c>
      <c r="L64" s="468">
        <v>25.64</v>
      </c>
      <c r="M64" s="472">
        <f t="shared" si="20"/>
        <v>389.35647639999996</v>
      </c>
      <c r="N64" s="473">
        <f t="shared" si="21"/>
        <v>1522.9689999999998</v>
      </c>
      <c r="P64" s="609" t="s">
        <v>307</v>
      </c>
      <c r="Q64" s="346">
        <v>24.582000000000001</v>
      </c>
      <c r="R64" s="346">
        <v>1926.085</v>
      </c>
      <c r="S64" s="468">
        <v>20.309999999999999</v>
      </c>
      <c r="T64" s="472">
        <f t="shared" si="22"/>
        <v>391.18786349999993</v>
      </c>
      <c r="U64" s="473">
        <f t="shared" si="23"/>
        <v>1950.6670000000001</v>
      </c>
    </row>
    <row r="65" spans="1:22" x14ac:dyDescent="0.2">
      <c r="B65" s="608" t="s">
        <v>287</v>
      </c>
      <c r="C65" s="346">
        <v>8.1759999999999999E-2</v>
      </c>
      <c r="D65" s="346">
        <v>3.7967199999999997</v>
      </c>
      <c r="E65" s="468">
        <v>21.15</v>
      </c>
      <c r="F65" s="472">
        <f t="shared" si="18"/>
        <v>0.80300627999999985</v>
      </c>
      <c r="G65" s="473">
        <f t="shared" si="19"/>
        <v>3.8784799999999997</v>
      </c>
      <c r="I65" s="608" t="s">
        <v>287</v>
      </c>
      <c r="J65" s="346">
        <v>12.688000000000001</v>
      </c>
      <c r="K65" s="346">
        <v>1613.48</v>
      </c>
      <c r="L65" s="468">
        <v>28.65</v>
      </c>
      <c r="M65" s="472">
        <f t="shared" si="20"/>
        <v>462.26201999999995</v>
      </c>
      <c r="N65" s="473">
        <f t="shared" si="21"/>
        <v>1626.1680000000001</v>
      </c>
      <c r="P65" s="608" t="s">
        <v>287</v>
      </c>
      <c r="Q65" s="346">
        <v>108.17</v>
      </c>
      <c r="R65" s="346">
        <v>3090.06</v>
      </c>
      <c r="S65" s="468">
        <v>21.03</v>
      </c>
      <c r="T65" s="472">
        <f t="shared" si="22"/>
        <v>649.83961800000009</v>
      </c>
      <c r="U65" s="473">
        <f t="shared" si="23"/>
        <v>3198.23</v>
      </c>
    </row>
    <row r="66" spans="1:22" x14ac:dyDescent="0.2">
      <c r="B66" s="609" t="s">
        <v>288</v>
      </c>
      <c r="C66" s="346">
        <v>5.7709999999999997E-2</v>
      </c>
      <c r="D66" s="346">
        <v>0.96234000000000008</v>
      </c>
      <c r="E66" s="468">
        <v>37.159999999999997</v>
      </c>
      <c r="F66" s="472">
        <f t="shared" si="18"/>
        <v>0.35760554399999994</v>
      </c>
      <c r="G66" s="473">
        <f t="shared" si="19"/>
        <v>1.0200500000000001</v>
      </c>
      <c r="I66" s="609" t="s">
        <v>288</v>
      </c>
      <c r="J66" s="346">
        <v>9.7309999999999999</v>
      </c>
      <c r="K66" s="346">
        <v>908.46699999999998</v>
      </c>
      <c r="L66" s="468">
        <v>42.27</v>
      </c>
      <c r="M66" s="472">
        <f t="shared" si="20"/>
        <v>384.00900090000005</v>
      </c>
      <c r="N66" s="473">
        <f t="shared" si="21"/>
        <v>918.19799999999998</v>
      </c>
      <c r="P66" s="609" t="s">
        <v>288</v>
      </c>
      <c r="Q66" s="346">
        <v>29.798999999999999</v>
      </c>
      <c r="R66" s="346">
        <v>906.21900000000005</v>
      </c>
      <c r="S66" s="468">
        <v>38.74</v>
      </c>
      <c r="T66" s="472">
        <f t="shared" si="22"/>
        <v>351.06924060000006</v>
      </c>
      <c r="U66" s="473">
        <f t="shared" si="23"/>
        <v>936.01800000000003</v>
      </c>
    </row>
    <row r="67" spans="1:22" x14ac:dyDescent="0.2">
      <c r="B67" s="608" t="s">
        <v>305</v>
      </c>
      <c r="C67" s="346">
        <v>1.12E-2</v>
      </c>
      <c r="D67" s="346">
        <v>8.3860000000000004E-2</v>
      </c>
      <c r="E67" s="468">
        <v>75.17</v>
      </c>
      <c r="F67" s="472">
        <f t="shared" si="18"/>
        <v>6.3037562000000005E-2</v>
      </c>
      <c r="G67" s="473">
        <f t="shared" si="19"/>
        <v>9.5060000000000006E-2</v>
      </c>
      <c r="I67" s="608" t="s">
        <v>305</v>
      </c>
      <c r="J67" s="346">
        <v>5.2329999999999997</v>
      </c>
      <c r="K67" s="346">
        <v>1317.2570000000001</v>
      </c>
      <c r="L67" s="468">
        <v>92.48</v>
      </c>
      <c r="M67" s="472">
        <f t="shared" si="20"/>
        <v>1218.1992736000002</v>
      </c>
      <c r="N67" s="473">
        <f t="shared" si="21"/>
        <v>1322.49</v>
      </c>
      <c r="P67" s="608" t="s">
        <v>305</v>
      </c>
      <c r="Q67" s="346">
        <v>9.5440000000000005</v>
      </c>
      <c r="R67" s="346">
        <v>75.572999999999993</v>
      </c>
      <c r="S67" s="468">
        <v>109.31</v>
      </c>
      <c r="T67" s="472">
        <f t="shared" si="22"/>
        <v>82.608846299999982</v>
      </c>
      <c r="U67" s="473">
        <f t="shared" si="23"/>
        <v>85.11699999999999</v>
      </c>
    </row>
    <row r="68" spans="1:22" x14ac:dyDescent="0.2">
      <c r="B68" s="609" t="s">
        <v>289</v>
      </c>
      <c r="C68" s="346">
        <v>2.7E-4</v>
      </c>
      <c r="D68" s="346">
        <v>0.17274999999999999</v>
      </c>
      <c r="E68" s="468">
        <v>74.73</v>
      </c>
      <c r="F68" s="472">
        <f t="shared" si="18"/>
        <v>0.129096075</v>
      </c>
      <c r="G68" s="473">
        <f t="shared" si="19"/>
        <v>0.17301999999999998</v>
      </c>
      <c r="I68" s="609" t="s">
        <v>289</v>
      </c>
      <c r="J68" s="346">
        <v>8.5999999999999993E-2</v>
      </c>
      <c r="K68" s="346">
        <v>528.67999999999995</v>
      </c>
      <c r="L68" s="468">
        <v>82.93</v>
      </c>
      <c r="M68" s="472">
        <f t="shared" si="20"/>
        <v>438.434324</v>
      </c>
      <c r="N68" s="473">
        <f t="shared" si="21"/>
        <v>528.76599999999996</v>
      </c>
      <c r="P68" s="609" t="s">
        <v>289</v>
      </c>
      <c r="Q68" s="346">
        <v>0.34599999999999997</v>
      </c>
      <c r="R68" s="346">
        <v>169.69200000000001</v>
      </c>
      <c r="S68" s="468">
        <v>80.099999999999994</v>
      </c>
      <c r="T68" s="472">
        <f t="shared" si="22"/>
        <v>135.923292</v>
      </c>
      <c r="U68" s="473">
        <f t="shared" si="23"/>
        <v>170.03800000000001</v>
      </c>
    </row>
    <row r="69" spans="1:22" x14ac:dyDescent="0.2">
      <c r="B69" s="608" t="s">
        <v>306</v>
      </c>
      <c r="C69" s="346">
        <v>8.2849999999999993E-2</v>
      </c>
      <c r="D69" s="346">
        <v>12.42032</v>
      </c>
      <c r="E69" s="468">
        <v>12.35</v>
      </c>
      <c r="F69" s="472">
        <f t="shared" si="18"/>
        <v>1.5339095199999999</v>
      </c>
      <c r="G69" s="473">
        <f t="shared" si="19"/>
        <v>12.503170000000001</v>
      </c>
      <c r="I69" s="608" t="s">
        <v>306</v>
      </c>
      <c r="J69" s="346">
        <v>5.0430000000000001</v>
      </c>
      <c r="K69" s="346">
        <v>435.245</v>
      </c>
      <c r="L69" s="468">
        <v>16.45</v>
      </c>
      <c r="M69" s="472">
        <f t="shared" si="20"/>
        <v>71.5978025</v>
      </c>
      <c r="N69" s="473">
        <f t="shared" si="21"/>
        <v>440.28800000000001</v>
      </c>
      <c r="P69" s="608" t="s">
        <v>306</v>
      </c>
      <c r="Q69" s="346">
        <v>197.715</v>
      </c>
      <c r="R69" s="346">
        <v>24275.75</v>
      </c>
      <c r="S69" s="468">
        <v>15.3</v>
      </c>
      <c r="T69" s="472">
        <f t="shared" si="22"/>
        <v>3714.1897500000005</v>
      </c>
      <c r="U69" s="473">
        <f t="shared" si="23"/>
        <v>24473.465</v>
      </c>
    </row>
    <row r="70" spans="1:22" x14ac:dyDescent="0.2">
      <c r="B70" s="609" t="s">
        <v>290</v>
      </c>
      <c r="C70" s="346">
        <v>7.2899999999999996E-3</v>
      </c>
      <c r="D70" s="346">
        <v>9.214E-2</v>
      </c>
      <c r="E70" s="468">
        <v>51.11</v>
      </c>
      <c r="F70" s="472">
        <f t="shared" si="18"/>
        <v>4.7092754000000001E-2</v>
      </c>
      <c r="G70" s="473">
        <f t="shared" si="19"/>
        <v>9.9430000000000004E-2</v>
      </c>
      <c r="I70" s="609" t="s">
        <v>290</v>
      </c>
      <c r="J70" s="346">
        <v>1.054</v>
      </c>
      <c r="K70" s="346">
        <v>1160.393</v>
      </c>
      <c r="L70" s="468">
        <v>70.67</v>
      </c>
      <c r="M70" s="472">
        <f t="shared" si="20"/>
        <v>820.04973310000003</v>
      </c>
      <c r="N70" s="473">
        <f t="shared" si="21"/>
        <v>1161.4470000000001</v>
      </c>
      <c r="P70" s="609" t="s">
        <v>290</v>
      </c>
      <c r="Q70" s="346">
        <v>6.851</v>
      </c>
      <c r="R70" s="346">
        <v>60.845999999999997</v>
      </c>
      <c r="S70" s="468">
        <v>75.58</v>
      </c>
      <c r="T70" s="472">
        <f t="shared" si="22"/>
        <v>45.987406800000002</v>
      </c>
      <c r="U70" s="473">
        <f t="shared" si="23"/>
        <v>67.697000000000003</v>
      </c>
    </row>
    <row r="71" spans="1:22" x14ac:dyDescent="0.2">
      <c r="B71" s="608" t="s">
        <v>291</v>
      </c>
      <c r="C71" s="346">
        <v>0</v>
      </c>
      <c r="D71" s="346">
        <v>0</v>
      </c>
      <c r="E71" s="468">
        <v>0</v>
      </c>
      <c r="F71" s="472">
        <f t="shared" si="18"/>
        <v>0</v>
      </c>
      <c r="G71" s="473">
        <f t="shared" si="19"/>
        <v>0</v>
      </c>
      <c r="I71" s="608" t="s">
        <v>291</v>
      </c>
      <c r="J71" s="346">
        <v>0</v>
      </c>
      <c r="K71" s="346">
        <v>885.81</v>
      </c>
      <c r="L71" s="468">
        <v>0</v>
      </c>
      <c r="M71" s="472">
        <f t="shared" si="20"/>
        <v>0</v>
      </c>
      <c r="N71" s="473">
        <f t="shared" si="21"/>
        <v>885.81</v>
      </c>
      <c r="P71" s="608" t="s">
        <v>291</v>
      </c>
      <c r="Q71" s="346">
        <v>0</v>
      </c>
      <c r="R71" s="346">
        <v>0</v>
      </c>
      <c r="S71" s="468">
        <v>0</v>
      </c>
      <c r="T71" s="472">
        <f t="shared" si="22"/>
        <v>0</v>
      </c>
      <c r="U71" s="473">
        <f t="shared" si="23"/>
        <v>0</v>
      </c>
    </row>
    <row r="72" spans="1:22" x14ac:dyDescent="0.2">
      <c r="A72" s="468"/>
      <c r="B72" s="609" t="s">
        <v>292</v>
      </c>
      <c r="C72" s="346">
        <v>0.14022000000000001</v>
      </c>
      <c r="D72" s="346">
        <v>3.75271</v>
      </c>
      <c r="E72" s="468">
        <v>16.52</v>
      </c>
      <c r="F72" s="472">
        <f t="shared" si="18"/>
        <v>0.61994769199999999</v>
      </c>
      <c r="G72" s="473">
        <f t="shared" si="19"/>
        <v>3.8929299999999998</v>
      </c>
      <c r="I72" s="609" t="s">
        <v>292</v>
      </c>
      <c r="J72" s="346">
        <v>33.290999999999997</v>
      </c>
      <c r="K72" s="346">
        <v>491.45600000000002</v>
      </c>
      <c r="L72" s="468">
        <v>15.9</v>
      </c>
      <c r="M72" s="472">
        <f t="shared" si="20"/>
        <v>78.141503999999998</v>
      </c>
      <c r="N72" s="473">
        <f t="shared" si="21"/>
        <v>524.74700000000007</v>
      </c>
      <c r="P72" s="609" t="s">
        <v>292</v>
      </c>
      <c r="Q72" s="346">
        <v>164.21199999999999</v>
      </c>
      <c r="R72" s="346">
        <v>8533.1200000000008</v>
      </c>
      <c r="S72" s="468">
        <v>25.53</v>
      </c>
      <c r="T72" s="472">
        <f t="shared" si="22"/>
        <v>2178.5055360000006</v>
      </c>
      <c r="U72" s="473">
        <f t="shared" si="23"/>
        <v>8697.3320000000003</v>
      </c>
    </row>
    <row r="73" spans="1:22" x14ac:dyDescent="0.2">
      <c r="A73" s="468"/>
      <c r="B73" s="608" t="s">
        <v>293</v>
      </c>
      <c r="C73" s="346">
        <v>2.027E-2</v>
      </c>
      <c r="D73" s="346">
        <v>1.6646300000000001</v>
      </c>
      <c r="E73" s="468">
        <v>20.440000000000001</v>
      </c>
      <c r="F73" s="472">
        <f t="shared" si="18"/>
        <v>0.34025037200000002</v>
      </c>
      <c r="G73" s="473">
        <f t="shared" si="19"/>
        <v>1.6849000000000001</v>
      </c>
      <c r="I73" s="608" t="s">
        <v>293</v>
      </c>
      <c r="J73" s="346">
        <v>1.897</v>
      </c>
      <c r="K73" s="346">
        <v>714.95</v>
      </c>
      <c r="L73" s="468">
        <v>21.51</v>
      </c>
      <c r="M73" s="472">
        <f t="shared" si="20"/>
        <v>153.78574500000002</v>
      </c>
      <c r="N73" s="473">
        <f t="shared" si="21"/>
        <v>716.84700000000009</v>
      </c>
      <c r="P73" s="608" t="s">
        <v>293</v>
      </c>
      <c r="Q73" s="346">
        <v>36.723999999999997</v>
      </c>
      <c r="R73" s="346">
        <v>1394.0229999999999</v>
      </c>
      <c r="S73" s="468">
        <v>24.32</v>
      </c>
      <c r="T73" s="472">
        <f t="shared" si="22"/>
        <v>339.02639360000001</v>
      </c>
      <c r="U73" s="473">
        <f t="shared" si="23"/>
        <v>1430.7469999999998</v>
      </c>
      <c r="V73" s="346"/>
    </row>
    <row r="74" spans="1:22" x14ac:dyDescent="0.2">
      <c r="B74" s="609" t="s">
        <v>294</v>
      </c>
      <c r="C74" s="346">
        <v>0.04</v>
      </c>
      <c r="D74" s="346">
        <v>1.04</v>
      </c>
      <c r="E74" s="468">
        <v>31.85</v>
      </c>
      <c r="F74" s="472">
        <f t="shared" si="18"/>
        <v>0.33124000000000003</v>
      </c>
      <c r="G74" s="473">
        <f t="shared" si="19"/>
        <v>1.08</v>
      </c>
      <c r="H74" s="468"/>
      <c r="I74" s="609" t="s">
        <v>294</v>
      </c>
      <c r="J74" s="346">
        <v>42.631</v>
      </c>
      <c r="K74" s="346">
        <v>1429.4110000000001</v>
      </c>
      <c r="L74" s="468">
        <v>28.37</v>
      </c>
      <c r="M74" s="472">
        <f t="shared" si="20"/>
        <v>405.52390070000001</v>
      </c>
      <c r="N74" s="473">
        <f t="shared" si="21"/>
        <v>1472.0420000000001</v>
      </c>
      <c r="P74" s="609" t="s">
        <v>294</v>
      </c>
      <c r="Q74" s="346">
        <v>682.745</v>
      </c>
      <c r="R74" s="346">
        <v>3399.4409999999998</v>
      </c>
      <c r="S74" s="468">
        <v>29.78</v>
      </c>
      <c r="T74" s="472">
        <f t="shared" si="22"/>
        <v>1012.3535297999999</v>
      </c>
      <c r="U74" s="473">
        <f t="shared" si="23"/>
        <v>4082.1859999999997</v>
      </c>
      <c r="V74" s="346"/>
    </row>
    <row r="75" spans="1:22" x14ac:dyDescent="0.2">
      <c r="B75" s="608" t="s">
        <v>295</v>
      </c>
      <c r="C75" s="346">
        <v>0.36</v>
      </c>
      <c r="D75" s="346">
        <v>2.36</v>
      </c>
      <c r="E75" s="468">
        <v>29.29</v>
      </c>
      <c r="F75" s="472">
        <f t="shared" si="18"/>
        <v>0.69124399999999997</v>
      </c>
      <c r="G75" s="473">
        <f t="shared" si="19"/>
        <v>2.7199999999999998</v>
      </c>
      <c r="H75" s="468"/>
      <c r="I75" s="608" t="s">
        <v>295</v>
      </c>
      <c r="J75" s="346">
        <v>8.593</v>
      </c>
      <c r="K75" s="346">
        <v>1301.2929999999999</v>
      </c>
      <c r="L75" s="468">
        <v>33.700000000000003</v>
      </c>
      <c r="M75" s="472">
        <f t="shared" si="20"/>
        <v>438.53574099999997</v>
      </c>
      <c r="N75" s="473">
        <f t="shared" si="21"/>
        <v>1309.886</v>
      </c>
      <c r="P75" s="608" t="s">
        <v>295</v>
      </c>
      <c r="Q75" s="346">
        <v>77.269000000000005</v>
      </c>
      <c r="R75" s="346">
        <v>730.38300000000004</v>
      </c>
      <c r="S75" s="468">
        <v>33.19</v>
      </c>
      <c r="T75" s="472">
        <f t="shared" si="22"/>
        <v>242.41411769999999</v>
      </c>
      <c r="U75" s="473">
        <f t="shared" si="23"/>
        <v>807.65200000000004</v>
      </c>
    </row>
    <row r="76" spans="1:22" ht="13.5" thickBot="1" x14ac:dyDescent="0.25">
      <c r="B76" s="604" t="s">
        <v>296</v>
      </c>
      <c r="C76" s="352">
        <v>8.8000000000000005E-3</v>
      </c>
      <c r="D76" s="352">
        <v>0.29508000000000001</v>
      </c>
      <c r="E76" s="469">
        <v>39.36</v>
      </c>
      <c r="F76" s="474">
        <f t="shared" si="18"/>
        <v>0.116143488</v>
      </c>
      <c r="G76" s="475">
        <f t="shared" si="19"/>
        <v>0.30387999999999998</v>
      </c>
      <c r="I76" s="604" t="s">
        <v>296</v>
      </c>
      <c r="J76" s="352">
        <v>1.9730000000000001</v>
      </c>
      <c r="K76" s="352">
        <v>2779.768</v>
      </c>
      <c r="L76" s="469">
        <v>55.57</v>
      </c>
      <c r="M76" s="474">
        <f t="shared" si="20"/>
        <v>1544.7170775999998</v>
      </c>
      <c r="N76" s="475">
        <f t="shared" si="21"/>
        <v>2781.741</v>
      </c>
      <c r="P76" s="604" t="s">
        <v>296</v>
      </c>
      <c r="Q76" s="352">
        <v>9.2799999999999994</v>
      </c>
      <c r="R76" s="352">
        <v>121.928</v>
      </c>
      <c r="S76" s="469">
        <v>53.05</v>
      </c>
      <c r="T76" s="474">
        <f t="shared" si="22"/>
        <v>64.68280399999999</v>
      </c>
      <c r="U76" s="475">
        <f t="shared" si="23"/>
        <v>131.208</v>
      </c>
    </row>
    <row r="79" spans="1:22" ht="29.25" customHeight="1" x14ac:dyDescent="0.2">
      <c r="B79" s="1024" t="s">
        <v>725</v>
      </c>
      <c r="C79" s="1025"/>
      <c r="D79" s="1025"/>
      <c r="E79" s="1025"/>
      <c r="F79" s="1025"/>
      <c r="G79" s="1025"/>
      <c r="I79" s="1024" t="s">
        <v>724</v>
      </c>
      <c r="J79" s="1025"/>
      <c r="K79" s="1025"/>
      <c r="L79" s="1025"/>
      <c r="M79" s="1025"/>
      <c r="N79" s="1025"/>
      <c r="P79" s="1024" t="s">
        <v>723</v>
      </c>
      <c r="Q79" s="1025"/>
      <c r="R79" s="1025"/>
      <c r="S79" s="1025"/>
      <c r="T79" s="1025"/>
      <c r="U79" s="1025"/>
    </row>
    <row r="80" spans="1:22" ht="39" thickBot="1" x14ac:dyDescent="0.25">
      <c r="B80" s="614"/>
      <c r="C80" s="614" t="s">
        <v>99</v>
      </c>
      <c r="D80" s="613" t="s">
        <v>381</v>
      </c>
      <c r="E80" s="614" t="s">
        <v>83</v>
      </c>
      <c r="F80" s="614"/>
      <c r="G80" s="613"/>
      <c r="I80" s="614"/>
      <c r="J80" s="614" t="s">
        <v>99</v>
      </c>
      <c r="K80" s="613" t="s">
        <v>381</v>
      </c>
      <c r="L80" s="614" t="s">
        <v>83</v>
      </c>
      <c r="M80" s="614"/>
      <c r="N80" s="613"/>
      <c r="P80" s="614"/>
      <c r="Q80" s="614" t="s">
        <v>99</v>
      </c>
      <c r="R80" s="613" t="s">
        <v>381</v>
      </c>
      <c r="S80" s="614" t="s">
        <v>83</v>
      </c>
      <c r="T80" s="614"/>
      <c r="U80" s="613"/>
    </row>
    <row r="81" spans="2:21" x14ac:dyDescent="0.2">
      <c r="B81" s="612" t="s">
        <v>721</v>
      </c>
      <c r="C81" s="611">
        <f>G62</f>
        <v>30.104410000000005</v>
      </c>
      <c r="D81" s="611">
        <f>G43-G62</f>
        <v>862.38714999999991</v>
      </c>
      <c r="E81" s="611">
        <f>G24</f>
        <v>305.06689</v>
      </c>
      <c r="F81" s="611"/>
      <c r="G81" s="610"/>
      <c r="I81" s="612" t="s">
        <v>721</v>
      </c>
      <c r="J81" s="611">
        <f>N62</f>
        <v>16380.068000000001</v>
      </c>
      <c r="K81" s="611">
        <f>N43-N62</f>
        <v>161562.02900000001</v>
      </c>
      <c r="L81" s="611">
        <f>N24</f>
        <v>89995.516000000003</v>
      </c>
      <c r="M81" s="611"/>
      <c r="N81" s="610"/>
      <c r="P81" s="612" t="s">
        <v>721</v>
      </c>
      <c r="Q81" s="611">
        <f>U62</f>
        <v>46030.64</v>
      </c>
      <c r="R81" s="611">
        <f>U43-U62</f>
        <v>995448.06599999999</v>
      </c>
      <c r="S81" s="611">
        <f>U24</f>
        <v>305205.06699999998</v>
      </c>
      <c r="T81" s="611"/>
      <c r="U81" s="610"/>
    </row>
    <row r="82" spans="2:21" ht="15" customHeight="1" x14ac:dyDescent="0.2">
      <c r="B82" s="608" t="s">
        <v>286</v>
      </c>
      <c r="C82" s="606">
        <f t="shared" ref="C82:C95" si="24">G63</f>
        <v>5.9000000000000007E-3</v>
      </c>
      <c r="D82" s="606">
        <f t="shared" ref="D82:D95" si="25">G44-G63</f>
        <v>44.842580000000005</v>
      </c>
      <c r="E82" s="607">
        <f t="shared" ref="E82:E95" si="26">G25</f>
        <v>31.27543</v>
      </c>
      <c r="F82" s="606"/>
      <c r="G82" s="605"/>
      <c r="I82" s="608" t="s">
        <v>286</v>
      </c>
      <c r="J82" s="606">
        <f t="shared" ref="J82:J95" si="27">N63</f>
        <v>1168.6690000000001</v>
      </c>
      <c r="K82" s="606">
        <f t="shared" ref="K82:K95" si="28">N44-N63</f>
        <v>6557.0520000000006</v>
      </c>
      <c r="L82" s="607">
        <f t="shared" ref="L82:L95" si="29">N25</f>
        <v>8838.6810000000005</v>
      </c>
      <c r="M82" s="606"/>
      <c r="N82" s="605"/>
      <c r="P82" s="608" t="s">
        <v>286</v>
      </c>
      <c r="Q82" s="606">
        <f t="shared" ref="Q82:Q95" si="30">U63</f>
        <v>0.28299999999999997</v>
      </c>
      <c r="R82" s="606">
        <f t="shared" ref="R82:R95" si="31">U44-U63</f>
        <v>49490.998999999996</v>
      </c>
      <c r="S82" s="607">
        <f t="shared" ref="S82:S95" si="32">U25</f>
        <v>39134.611000000004</v>
      </c>
      <c r="T82" s="606"/>
      <c r="U82" s="605"/>
    </row>
    <row r="83" spans="2:21" x14ac:dyDescent="0.2">
      <c r="B83" s="609" t="s">
        <v>307</v>
      </c>
      <c r="C83" s="606">
        <f t="shared" si="24"/>
        <v>2.6514300000000004</v>
      </c>
      <c r="D83" s="606">
        <f t="shared" si="25"/>
        <v>79.077219999999997</v>
      </c>
      <c r="E83" s="607">
        <f t="shared" si="26"/>
        <v>24.800020000000004</v>
      </c>
      <c r="F83" s="606"/>
      <c r="G83" s="605"/>
      <c r="I83" s="609" t="s">
        <v>307</v>
      </c>
      <c r="J83" s="606">
        <f t="shared" si="27"/>
        <v>1522.9689999999998</v>
      </c>
      <c r="K83" s="606">
        <f t="shared" si="28"/>
        <v>15928.151000000003</v>
      </c>
      <c r="L83" s="607">
        <f t="shared" si="29"/>
        <v>8251.4529999999995</v>
      </c>
      <c r="M83" s="606"/>
      <c r="N83" s="605"/>
      <c r="P83" s="609" t="s">
        <v>307</v>
      </c>
      <c r="Q83" s="606">
        <f t="shared" si="30"/>
        <v>1950.6670000000001</v>
      </c>
      <c r="R83" s="606">
        <f t="shared" si="31"/>
        <v>99085.501000000004</v>
      </c>
      <c r="S83" s="607">
        <f t="shared" si="32"/>
        <v>23115.441999999999</v>
      </c>
      <c r="T83" s="606"/>
      <c r="U83" s="605"/>
    </row>
    <row r="84" spans="2:21" x14ac:dyDescent="0.2">
      <c r="B84" s="608" t="s">
        <v>287</v>
      </c>
      <c r="C84" s="606">
        <f t="shared" si="24"/>
        <v>3.8784799999999997</v>
      </c>
      <c r="D84" s="606">
        <f t="shared" si="25"/>
        <v>86.98048</v>
      </c>
      <c r="E84" s="607">
        <f t="shared" si="26"/>
        <v>33.330150000000003</v>
      </c>
      <c r="F84" s="606"/>
      <c r="G84" s="605"/>
      <c r="I84" s="608" t="s">
        <v>287</v>
      </c>
      <c r="J84" s="606">
        <f t="shared" si="27"/>
        <v>1626.1680000000001</v>
      </c>
      <c r="K84" s="606">
        <f t="shared" si="28"/>
        <v>14555.041999999999</v>
      </c>
      <c r="L84" s="607">
        <f t="shared" si="29"/>
        <v>7462.2569999999996</v>
      </c>
      <c r="M84" s="606"/>
      <c r="N84" s="605"/>
      <c r="P84" s="608" t="s">
        <v>287</v>
      </c>
      <c r="Q84" s="606">
        <f t="shared" si="30"/>
        <v>3198.23</v>
      </c>
      <c r="R84" s="606">
        <f t="shared" si="31"/>
        <v>96455.631000000008</v>
      </c>
      <c r="S84" s="607">
        <f t="shared" si="32"/>
        <v>29342.337</v>
      </c>
      <c r="T84" s="606"/>
      <c r="U84" s="605"/>
    </row>
    <row r="85" spans="2:21" x14ac:dyDescent="0.2">
      <c r="B85" s="609" t="s">
        <v>288</v>
      </c>
      <c r="C85" s="606">
        <f t="shared" si="24"/>
        <v>1.0200500000000001</v>
      </c>
      <c r="D85" s="606">
        <f t="shared" si="25"/>
        <v>38.039630000000002</v>
      </c>
      <c r="E85" s="607">
        <f t="shared" si="26"/>
        <v>12.106770000000001</v>
      </c>
      <c r="F85" s="606"/>
      <c r="G85" s="605"/>
      <c r="I85" s="609" t="s">
        <v>288</v>
      </c>
      <c r="J85" s="606">
        <f t="shared" si="27"/>
        <v>918.19799999999998</v>
      </c>
      <c r="K85" s="606">
        <f t="shared" si="28"/>
        <v>5230.4319999999998</v>
      </c>
      <c r="L85" s="607">
        <f t="shared" si="29"/>
        <v>3499.62</v>
      </c>
      <c r="M85" s="606"/>
      <c r="N85" s="605"/>
      <c r="P85" s="609" t="s">
        <v>288</v>
      </c>
      <c r="Q85" s="606">
        <f t="shared" si="30"/>
        <v>936.01800000000003</v>
      </c>
      <c r="R85" s="606">
        <f t="shared" si="31"/>
        <v>40486.377999999997</v>
      </c>
      <c r="S85" s="607">
        <f t="shared" si="32"/>
        <v>9278.0509999999995</v>
      </c>
      <c r="T85" s="606"/>
      <c r="U85" s="605"/>
    </row>
    <row r="86" spans="2:21" x14ac:dyDescent="0.2">
      <c r="B86" s="608" t="s">
        <v>305</v>
      </c>
      <c r="C86" s="606">
        <f t="shared" si="24"/>
        <v>9.5060000000000006E-2</v>
      </c>
      <c r="D86" s="606">
        <f t="shared" si="25"/>
        <v>24.15447</v>
      </c>
      <c r="E86" s="607">
        <f t="shared" si="26"/>
        <v>2.6481899999999996</v>
      </c>
      <c r="F86" s="606"/>
      <c r="G86" s="605"/>
      <c r="I86" s="608" t="s">
        <v>305</v>
      </c>
      <c r="J86" s="606">
        <f t="shared" si="27"/>
        <v>1322.49</v>
      </c>
      <c r="K86" s="606">
        <f t="shared" si="28"/>
        <v>2723.768</v>
      </c>
      <c r="L86" s="607">
        <f t="shared" si="29"/>
        <v>729.23399999999992</v>
      </c>
      <c r="M86" s="606"/>
      <c r="N86" s="605"/>
      <c r="P86" s="608" t="s">
        <v>305</v>
      </c>
      <c r="Q86" s="606">
        <f t="shared" si="30"/>
        <v>85.11699999999999</v>
      </c>
      <c r="R86" s="606">
        <f t="shared" si="31"/>
        <v>21603.161</v>
      </c>
      <c r="S86" s="607">
        <f t="shared" si="32"/>
        <v>2143.7979999999998</v>
      </c>
      <c r="T86" s="606"/>
      <c r="U86" s="605"/>
    </row>
    <row r="87" spans="2:21" x14ac:dyDescent="0.2">
      <c r="B87" s="609" t="s">
        <v>289</v>
      </c>
      <c r="C87" s="606">
        <f t="shared" si="24"/>
        <v>0.17301999999999998</v>
      </c>
      <c r="D87" s="606">
        <f t="shared" si="25"/>
        <v>29.893449999999998</v>
      </c>
      <c r="E87" s="607">
        <f t="shared" si="26"/>
        <v>3.1194000000000002</v>
      </c>
      <c r="F87" s="606"/>
      <c r="G87" s="605"/>
      <c r="I87" s="609" t="s">
        <v>289</v>
      </c>
      <c r="J87" s="606">
        <f t="shared" si="27"/>
        <v>528.76599999999996</v>
      </c>
      <c r="K87" s="606">
        <f t="shared" si="28"/>
        <v>4960.4769999999999</v>
      </c>
      <c r="L87" s="607">
        <f t="shared" si="29"/>
        <v>975.952</v>
      </c>
      <c r="M87" s="606"/>
      <c r="N87" s="605"/>
      <c r="P87" s="609" t="s">
        <v>289</v>
      </c>
      <c r="Q87" s="606">
        <f t="shared" si="30"/>
        <v>170.03800000000001</v>
      </c>
      <c r="R87" s="606">
        <f t="shared" si="31"/>
        <v>27801.51</v>
      </c>
      <c r="S87" s="607">
        <f t="shared" si="32"/>
        <v>2203.1640000000002</v>
      </c>
      <c r="T87" s="606"/>
      <c r="U87" s="605"/>
    </row>
    <row r="88" spans="2:21" x14ac:dyDescent="0.2">
      <c r="B88" s="608" t="s">
        <v>306</v>
      </c>
      <c r="C88" s="606">
        <f t="shared" si="24"/>
        <v>12.503170000000001</v>
      </c>
      <c r="D88" s="606">
        <f t="shared" si="25"/>
        <v>73.832939999999994</v>
      </c>
      <c r="E88" s="607">
        <f t="shared" si="26"/>
        <v>10.2445</v>
      </c>
      <c r="F88" s="606"/>
      <c r="G88" s="605"/>
      <c r="I88" s="608" t="s">
        <v>306</v>
      </c>
      <c r="J88" s="606">
        <f t="shared" si="27"/>
        <v>440.28800000000001</v>
      </c>
      <c r="K88" s="606">
        <f t="shared" si="28"/>
        <v>16781.487000000001</v>
      </c>
      <c r="L88" s="607">
        <f t="shared" si="29"/>
        <v>3359.04</v>
      </c>
      <c r="M88" s="606"/>
      <c r="N88" s="605"/>
      <c r="P88" s="608" t="s">
        <v>306</v>
      </c>
      <c r="Q88" s="606">
        <f t="shared" si="30"/>
        <v>24473.465</v>
      </c>
      <c r="R88" s="606">
        <f t="shared" si="31"/>
        <v>100774.909</v>
      </c>
      <c r="S88" s="607">
        <f t="shared" si="32"/>
        <v>9423.9589999999989</v>
      </c>
      <c r="T88" s="606"/>
      <c r="U88" s="605"/>
    </row>
    <row r="89" spans="2:21" x14ac:dyDescent="0.2">
      <c r="B89" s="609" t="s">
        <v>290</v>
      </c>
      <c r="C89" s="606">
        <f t="shared" si="24"/>
        <v>9.9430000000000004E-2</v>
      </c>
      <c r="D89" s="606">
        <f t="shared" si="25"/>
        <v>38.658180000000002</v>
      </c>
      <c r="E89" s="607">
        <f t="shared" si="26"/>
        <v>8.10684</v>
      </c>
      <c r="F89" s="606"/>
      <c r="G89" s="605"/>
      <c r="I89" s="609" t="s">
        <v>290</v>
      </c>
      <c r="J89" s="606">
        <f t="shared" si="27"/>
        <v>1161.4470000000001</v>
      </c>
      <c r="K89" s="606">
        <f t="shared" si="28"/>
        <v>6243.3449999999993</v>
      </c>
      <c r="L89" s="607">
        <f t="shared" si="29"/>
        <v>1863.3899999999999</v>
      </c>
      <c r="M89" s="606"/>
      <c r="N89" s="605"/>
      <c r="P89" s="609" t="s">
        <v>290</v>
      </c>
      <c r="Q89" s="606">
        <f t="shared" si="30"/>
        <v>67.697000000000003</v>
      </c>
      <c r="R89" s="606">
        <f t="shared" si="31"/>
        <v>46114.051999999996</v>
      </c>
      <c r="S89" s="607">
        <f t="shared" si="32"/>
        <v>6499.9409999999998</v>
      </c>
      <c r="T89" s="606"/>
      <c r="U89" s="605"/>
    </row>
    <row r="90" spans="2:21" x14ac:dyDescent="0.2">
      <c r="B90" s="608" t="s">
        <v>291</v>
      </c>
      <c r="C90" s="606">
        <f t="shared" si="24"/>
        <v>0</v>
      </c>
      <c r="D90" s="606">
        <f t="shared" si="25"/>
        <v>38.881959999999999</v>
      </c>
      <c r="E90" s="607">
        <f t="shared" si="26"/>
        <v>61.34901</v>
      </c>
      <c r="F90" s="606"/>
      <c r="G90" s="605"/>
      <c r="I90" s="608" t="s">
        <v>291</v>
      </c>
      <c r="J90" s="606">
        <f t="shared" si="27"/>
        <v>885.81</v>
      </c>
      <c r="K90" s="606">
        <f t="shared" si="28"/>
        <v>4670.905999999999</v>
      </c>
      <c r="L90" s="607">
        <f t="shared" si="29"/>
        <v>14821.967000000001</v>
      </c>
      <c r="M90" s="606"/>
      <c r="N90" s="605"/>
      <c r="P90" s="608" t="s">
        <v>291</v>
      </c>
      <c r="Q90" s="606">
        <f t="shared" si="30"/>
        <v>0</v>
      </c>
      <c r="R90" s="606">
        <f t="shared" si="31"/>
        <v>50374.337</v>
      </c>
      <c r="S90" s="607">
        <f t="shared" si="32"/>
        <v>86177.34</v>
      </c>
      <c r="T90" s="606"/>
      <c r="U90" s="605"/>
    </row>
    <row r="91" spans="2:21" x14ac:dyDescent="0.2">
      <c r="B91" s="609" t="s">
        <v>292</v>
      </c>
      <c r="C91" s="606">
        <f t="shared" si="24"/>
        <v>3.8929299999999998</v>
      </c>
      <c r="D91" s="606">
        <f t="shared" si="25"/>
        <v>89.500220000000013</v>
      </c>
      <c r="E91" s="607">
        <f t="shared" si="26"/>
        <v>20.796909999999997</v>
      </c>
      <c r="F91" s="606"/>
      <c r="G91" s="605"/>
      <c r="I91" s="609" t="s">
        <v>292</v>
      </c>
      <c r="J91" s="606">
        <f t="shared" si="27"/>
        <v>524.74700000000007</v>
      </c>
      <c r="K91" s="606">
        <f t="shared" si="28"/>
        <v>21329.978999999999</v>
      </c>
      <c r="L91" s="607">
        <f t="shared" si="29"/>
        <v>6896.2559999999994</v>
      </c>
      <c r="M91" s="606"/>
      <c r="N91" s="605"/>
      <c r="P91" s="609" t="s">
        <v>292</v>
      </c>
      <c r="Q91" s="606">
        <f t="shared" si="30"/>
        <v>8697.3320000000003</v>
      </c>
      <c r="R91" s="606">
        <f t="shared" si="31"/>
        <v>100177.68400000001</v>
      </c>
      <c r="S91" s="607">
        <f t="shared" si="32"/>
        <v>18261.563999999998</v>
      </c>
      <c r="T91" s="606"/>
      <c r="U91" s="605"/>
    </row>
    <row r="92" spans="2:21" x14ac:dyDescent="0.2">
      <c r="B92" s="608" t="s">
        <v>293</v>
      </c>
      <c r="C92" s="606">
        <f t="shared" si="24"/>
        <v>1.6849000000000001</v>
      </c>
      <c r="D92" s="606">
        <f t="shared" si="25"/>
        <v>71.901039999999995</v>
      </c>
      <c r="E92" s="607">
        <f t="shared" si="26"/>
        <v>15.146039999999999</v>
      </c>
      <c r="F92" s="606"/>
      <c r="G92" s="605"/>
      <c r="I92" s="608" t="s">
        <v>293</v>
      </c>
      <c r="J92" s="606">
        <f t="shared" si="27"/>
        <v>716.84700000000009</v>
      </c>
      <c r="K92" s="606">
        <f t="shared" si="28"/>
        <v>15974.504999999999</v>
      </c>
      <c r="L92" s="607">
        <f t="shared" si="29"/>
        <v>5408.4549999999999</v>
      </c>
      <c r="M92" s="606"/>
      <c r="N92" s="605"/>
      <c r="P92" s="608" t="s">
        <v>293</v>
      </c>
      <c r="Q92" s="606">
        <f t="shared" si="30"/>
        <v>1430.7469999999998</v>
      </c>
      <c r="R92" s="606">
        <f t="shared" si="31"/>
        <v>81518.971999999994</v>
      </c>
      <c r="S92" s="607">
        <f t="shared" si="32"/>
        <v>11210.630999999999</v>
      </c>
      <c r="T92" s="606"/>
      <c r="U92" s="605"/>
    </row>
    <row r="93" spans="2:21" x14ac:dyDescent="0.2">
      <c r="B93" s="609" t="s">
        <v>294</v>
      </c>
      <c r="C93" s="606">
        <f t="shared" si="24"/>
        <v>1.08</v>
      </c>
      <c r="D93" s="606">
        <f t="shared" si="25"/>
        <v>79.324610000000007</v>
      </c>
      <c r="E93" s="607">
        <f t="shared" si="26"/>
        <v>20.62396</v>
      </c>
      <c r="F93" s="606"/>
      <c r="G93" s="605"/>
      <c r="I93" s="609" t="s">
        <v>294</v>
      </c>
      <c r="J93" s="606">
        <f t="shared" si="27"/>
        <v>1472.0420000000001</v>
      </c>
      <c r="K93" s="606">
        <f t="shared" si="28"/>
        <v>16392.155999999999</v>
      </c>
      <c r="L93" s="607">
        <f t="shared" si="29"/>
        <v>7739.9580000000005</v>
      </c>
      <c r="M93" s="606"/>
      <c r="N93" s="605"/>
      <c r="P93" s="609" t="s">
        <v>294</v>
      </c>
      <c r="Q93" s="606">
        <f t="shared" si="30"/>
        <v>4082.1859999999997</v>
      </c>
      <c r="R93" s="606">
        <f t="shared" si="31"/>
        <v>85935.845000000001</v>
      </c>
      <c r="S93" s="607">
        <f t="shared" si="32"/>
        <v>15237.153999999999</v>
      </c>
      <c r="T93" s="606"/>
      <c r="U93" s="605"/>
    </row>
    <row r="94" spans="2:21" x14ac:dyDescent="0.2">
      <c r="B94" s="608" t="s">
        <v>295</v>
      </c>
      <c r="C94" s="606">
        <f t="shared" si="24"/>
        <v>2.7199999999999998</v>
      </c>
      <c r="D94" s="606">
        <f t="shared" si="25"/>
        <v>98.244489999999999</v>
      </c>
      <c r="E94" s="607">
        <f t="shared" si="26"/>
        <v>30.078939999999999</v>
      </c>
      <c r="F94" s="606"/>
      <c r="G94" s="605"/>
      <c r="I94" s="608" t="s">
        <v>295</v>
      </c>
      <c r="J94" s="606">
        <f t="shared" si="27"/>
        <v>1309.886</v>
      </c>
      <c r="K94" s="606">
        <f t="shared" si="28"/>
        <v>21408.97</v>
      </c>
      <c r="L94" s="607">
        <f t="shared" si="29"/>
        <v>11764.850999999999</v>
      </c>
      <c r="M94" s="606"/>
      <c r="N94" s="605"/>
      <c r="P94" s="608" t="s">
        <v>295</v>
      </c>
      <c r="Q94" s="606">
        <f t="shared" si="30"/>
        <v>807.65200000000004</v>
      </c>
      <c r="R94" s="606">
        <f t="shared" si="31"/>
        <v>117387.351</v>
      </c>
      <c r="S94" s="607">
        <f t="shared" si="32"/>
        <v>21582.849000000002</v>
      </c>
      <c r="T94" s="606"/>
      <c r="U94" s="605"/>
    </row>
    <row r="95" spans="2:21" ht="13.5" thickBot="1" x14ac:dyDescent="0.25">
      <c r="B95" s="604" t="s">
        <v>296</v>
      </c>
      <c r="C95" s="602">
        <f t="shared" si="24"/>
        <v>0.30387999999999998</v>
      </c>
      <c r="D95" s="602">
        <f t="shared" si="25"/>
        <v>69.052039999999991</v>
      </c>
      <c r="E95" s="603">
        <f t="shared" si="26"/>
        <v>31.440729999999999</v>
      </c>
      <c r="F95" s="602"/>
      <c r="G95" s="601"/>
      <c r="I95" s="604" t="s">
        <v>296</v>
      </c>
      <c r="J95" s="602">
        <f t="shared" si="27"/>
        <v>2781.741</v>
      </c>
      <c r="K95" s="602">
        <f t="shared" si="28"/>
        <v>8805.759</v>
      </c>
      <c r="L95" s="603">
        <f t="shared" si="29"/>
        <v>8384.402</v>
      </c>
      <c r="M95" s="602"/>
      <c r="N95" s="601"/>
      <c r="P95" s="604" t="s">
        <v>296</v>
      </c>
      <c r="Q95" s="602">
        <f t="shared" si="30"/>
        <v>131.208</v>
      </c>
      <c r="R95" s="602">
        <f t="shared" si="31"/>
        <v>78241.736000000004</v>
      </c>
      <c r="S95" s="603">
        <f t="shared" si="32"/>
        <v>31594.226000000002</v>
      </c>
      <c r="T95" s="602"/>
      <c r="U95" s="601"/>
    </row>
  </sheetData>
  <mergeCells count="15">
    <mergeCell ref="B3:G3"/>
    <mergeCell ref="I3:N3"/>
    <mergeCell ref="P3:U3"/>
    <mergeCell ref="B22:G22"/>
    <mergeCell ref="I22:N22"/>
    <mergeCell ref="P22:U22"/>
    <mergeCell ref="B79:G79"/>
    <mergeCell ref="I79:N79"/>
    <mergeCell ref="P79:U79"/>
    <mergeCell ref="B41:G41"/>
    <mergeCell ref="I41:N41"/>
    <mergeCell ref="P41:U41"/>
    <mergeCell ref="B60:G60"/>
    <mergeCell ref="I60:N60"/>
    <mergeCell ref="P60:U6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U39"/>
  <sheetViews>
    <sheetView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2" t="s">
        <v>657</v>
      </c>
      <c r="C3" s="1023"/>
      <c r="D3" s="1023"/>
      <c r="E3" s="1023"/>
      <c r="F3" s="1023"/>
      <c r="G3" s="1023"/>
      <c r="I3" s="1022" t="s">
        <v>659</v>
      </c>
      <c r="J3" s="1023"/>
      <c r="K3" s="1023"/>
      <c r="L3" s="1023"/>
      <c r="M3" s="1023"/>
      <c r="N3" s="1023"/>
      <c r="P3" s="1022" t="s">
        <v>658</v>
      </c>
      <c r="Q3" s="1023"/>
      <c r="R3" s="1023"/>
      <c r="S3" s="1023"/>
      <c r="T3" s="1023"/>
      <c r="U3" s="1023"/>
    </row>
    <row r="4" spans="2:21" ht="13.5" thickBot="1" x14ac:dyDescent="0.25">
      <c r="B4" s="444"/>
      <c r="C4" s="444" t="s">
        <v>78</v>
      </c>
      <c r="D4" s="444" t="s">
        <v>309</v>
      </c>
      <c r="E4" s="466" t="s">
        <v>82</v>
      </c>
      <c r="F4" s="444" t="s">
        <v>310</v>
      </c>
      <c r="G4" s="444" t="s">
        <v>486</v>
      </c>
      <c r="I4" s="444"/>
      <c r="J4" s="444" t="s">
        <v>78</v>
      </c>
      <c r="K4" s="444" t="s">
        <v>309</v>
      </c>
      <c r="L4" s="466" t="s">
        <v>82</v>
      </c>
      <c r="M4" s="444" t="s">
        <v>310</v>
      </c>
      <c r="N4" s="444" t="s">
        <v>486</v>
      </c>
      <c r="P4" s="444"/>
      <c r="Q4" s="444" t="s">
        <v>78</v>
      </c>
      <c r="R4" s="444" t="s">
        <v>309</v>
      </c>
      <c r="S4" s="466" t="s">
        <v>82</v>
      </c>
      <c r="T4" s="444" t="s">
        <v>310</v>
      </c>
      <c r="U4" s="444" t="s">
        <v>486</v>
      </c>
    </row>
    <row r="5" spans="2:21" x14ac:dyDescent="0.2">
      <c r="B5" s="347" t="s">
        <v>106</v>
      </c>
      <c r="C5" s="348">
        <v>181.2</v>
      </c>
      <c r="D5" s="348">
        <v>1016.37</v>
      </c>
      <c r="E5" s="467">
        <v>0.6</v>
      </c>
      <c r="F5" s="470">
        <f>D5*E5/100</f>
        <v>6.0982200000000004</v>
      </c>
      <c r="G5" s="471">
        <f>C5+D5</f>
        <v>1197.57</v>
      </c>
      <c r="I5" s="347" t="s">
        <v>106</v>
      </c>
      <c r="J5" s="348">
        <v>35136.934000000001</v>
      </c>
      <c r="K5" s="348">
        <v>232722.22099999999</v>
      </c>
      <c r="L5" s="467">
        <v>1.3249205983688215</v>
      </c>
      <c r="M5" s="470">
        <f>K5*L5/100</f>
        <v>3083.3846430104109</v>
      </c>
      <c r="N5" s="471">
        <f>J5+K5</f>
        <v>267859.15499999997</v>
      </c>
      <c r="P5" s="347" t="s">
        <v>106</v>
      </c>
      <c r="Q5" s="348">
        <v>207905.27900000001</v>
      </c>
      <c r="R5" s="348">
        <v>1139545.4410000001</v>
      </c>
      <c r="S5" s="467">
        <v>1.2114807274468335</v>
      </c>
      <c r="T5" s="470">
        <f>R5*S5/100</f>
        <v>13805.373398214029</v>
      </c>
      <c r="U5" s="471">
        <f>Q5+R5</f>
        <v>1347450.7200000002</v>
      </c>
    </row>
    <row r="6" spans="2:21" x14ac:dyDescent="0.2">
      <c r="B6" s="349" t="s">
        <v>92</v>
      </c>
      <c r="C6" s="346">
        <v>127.5</v>
      </c>
      <c r="D6" s="346">
        <v>177.55</v>
      </c>
      <c r="E6" s="468">
        <v>1.8</v>
      </c>
      <c r="F6" s="472">
        <f>D6*E6/100</f>
        <v>3.1959000000000004</v>
      </c>
      <c r="G6" s="473">
        <f>C6+D6</f>
        <v>305.05</v>
      </c>
      <c r="I6" s="349" t="s">
        <v>92</v>
      </c>
      <c r="J6" s="346">
        <v>26375.967000000001</v>
      </c>
      <c r="K6" s="346">
        <v>63619.548999999999</v>
      </c>
      <c r="L6" s="468">
        <v>2.44942320338764</v>
      </c>
      <c r="M6" s="472">
        <f>K6*L6/100</f>
        <v>1558.3119950965693</v>
      </c>
      <c r="N6" s="473">
        <f>J6+K6</f>
        <v>89995.516000000003</v>
      </c>
      <c r="P6" s="349" t="s">
        <v>92</v>
      </c>
      <c r="Q6" s="346">
        <v>149700.77499999999</v>
      </c>
      <c r="R6" s="346">
        <v>155504.29199999999</v>
      </c>
      <c r="S6" s="468">
        <v>2.9411401766810834</v>
      </c>
      <c r="T6" s="472">
        <f>R6*S6/100</f>
        <v>4573.599208475468</v>
      </c>
      <c r="U6" s="473">
        <f>Q6+R6</f>
        <v>305205.06699999998</v>
      </c>
    </row>
    <row r="7" spans="2:21" x14ac:dyDescent="0.2">
      <c r="B7" s="350" t="s">
        <v>105</v>
      </c>
      <c r="C7" s="346">
        <v>53.7</v>
      </c>
      <c r="D7" s="346">
        <v>838.38</v>
      </c>
      <c r="E7" s="468">
        <v>0.8</v>
      </c>
      <c r="F7" s="472">
        <f>D7*E7/100</f>
        <v>6.707040000000001</v>
      </c>
      <c r="G7" s="473">
        <f>C7+D7</f>
        <v>892.08</v>
      </c>
      <c r="I7" s="350" t="s">
        <v>105</v>
      </c>
      <c r="J7" s="346">
        <v>8760.9670000000006</v>
      </c>
      <c r="K7" s="346">
        <v>169181.13</v>
      </c>
      <c r="L7" s="468">
        <v>1.6188044985800498</v>
      </c>
      <c r="M7" s="472">
        <f>K7*L7/100</f>
        <v>2738.7117431885622</v>
      </c>
      <c r="N7" s="473">
        <f>J7+K7</f>
        <v>177942.09700000001</v>
      </c>
      <c r="P7" s="350" t="s">
        <v>105</v>
      </c>
      <c r="Q7" s="346">
        <v>58204.506999999998</v>
      </c>
      <c r="R7" s="346">
        <v>983274.19900000002</v>
      </c>
      <c r="S7" s="468">
        <v>1.365053762885452</v>
      </c>
      <c r="T7" s="472">
        <f>R7*S7/100</f>
        <v>13422.221452931286</v>
      </c>
      <c r="U7" s="473">
        <f>Q7+R7</f>
        <v>1041478.706</v>
      </c>
    </row>
    <row r="8" spans="2:21" ht="13.5" thickBot="1" x14ac:dyDescent="0.25">
      <c r="B8" s="351" t="s">
        <v>648</v>
      </c>
      <c r="C8" s="352">
        <v>9.9</v>
      </c>
      <c r="D8" s="352">
        <v>30.346109999999999</v>
      </c>
      <c r="E8" s="469">
        <v>5.0982243069023951</v>
      </c>
      <c r="F8" s="474">
        <f>D8*E8/100</f>
        <v>1.5471127562193385</v>
      </c>
      <c r="G8" s="475">
        <f>C8+D8</f>
        <v>40.246110000000002</v>
      </c>
      <c r="I8" s="351" t="s">
        <v>648</v>
      </c>
      <c r="J8" s="352">
        <v>1677.8589999999999</v>
      </c>
      <c r="K8" s="352">
        <v>10778.144</v>
      </c>
      <c r="L8" s="469">
        <v>5.8904734254558937</v>
      </c>
      <c r="M8" s="474">
        <f>K8*L8/100</f>
        <v>634.88370807736885</v>
      </c>
      <c r="N8" s="475">
        <f>J8+K8</f>
        <v>12456.003000000001</v>
      </c>
      <c r="P8" s="351" t="s">
        <v>648</v>
      </c>
      <c r="Q8" s="352">
        <v>10839.898999999999</v>
      </c>
      <c r="R8" s="352">
        <v>20891.810000000001</v>
      </c>
      <c r="S8" s="469">
        <v>5.8216449787865852</v>
      </c>
      <c r="T8" s="474">
        <f>R8*S8/100</f>
        <v>1216.2470078426338</v>
      </c>
      <c r="U8" s="475">
        <f>Q8+R8</f>
        <v>31731.709000000003</v>
      </c>
    </row>
    <row r="11" spans="2:21" ht="38.25" customHeight="1" x14ac:dyDescent="0.2">
      <c r="B11" s="1022" t="s">
        <v>644</v>
      </c>
      <c r="C11" s="1023"/>
      <c r="D11" s="1023"/>
      <c r="E11" s="1023"/>
      <c r="F11" s="1023"/>
      <c r="G11" s="1023"/>
      <c r="I11" s="1022" t="s">
        <v>660</v>
      </c>
      <c r="J11" s="1023"/>
      <c r="K11" s="1023"/>
      <c r="L11" s="1023"/>
      <c r="M11" s="1023"/>
      <c r="N11" s="1023"/>
      <c r="P11" s="1022" t="s">
        <v>645</v>
      </c>
      <c r="Q11" s="1023"/>
      <c r="R11" s="1023"/>
      <c r="S11" s="1023"/>
      <c r="T11" s="1023"/>
      <c r="U11" s="1023"/>
    </row>
    <row r="12" spans="2:21" ht="13.5" thickBot="1" x14ac:dyDescent="0.25">
      <c r="B12" s="444"/>
      <c r="C12" s="444" t="s">
        <v>78</v>
      </c>
      <c r="D12" s="444" t="s">
        <v>309</v>
      </c>
      <c r="E12" s="466" t="s">
        <v>82</v>
      </c>
      <c r="F12" s="444" t="s">
        <v>310</v>
      </c>
      <c r="G12" s="444" t="s">
        <v>486</v>
      </c>
      <c r="I12" s="444"/>
      <c r="J12" s="444" t="s">
        <v>78</v>
      </c>
      <c r="K12" s="444" t="s">
        <v>309</v>
      </c>
      <c r="L12" s="466" t="s">
        <v>82</v>
      </c>
      <c r="M12" s="444" t="s">
        <v>310</v>
      </c>
      <c r="N12" s="444" t="s">
        <v>486</v>
      </c>
      <c r="P12" s="444"/>
      <c r="Q12" s="444" t="s">
        <v>78</v>
      </c>
      <c r="R12" s="444" t="s">
        <v>309</v>
      </c>
      <c r="S12" s="466" t="s">
        <v>82</v>
      </c>
      <c r="T12" s="444" t="s">
        <v>310</v>
      </c>
      <c r="U12" s="444" t="s">
        <v>486</v>
      </c>
    </row>
    <row r="13" spans="2:21" x14ac:dyDescent="0.2">
      <c r="B13" s="347" t="s">
        <v>119</v>
      </c>
      <c r="C13" s="563">
        <v>1.0585899999999999</v>
      </c>
      <c r="D13" s="348">
        <v>0.35807000000000005</v>
      </c>
      <c r="E13" s="467">
        <v>29.962548732129811</v>
      </c>
      <c r="F13" s="470">
        <f t="shared" ref="F13:F19" si="0">D13*E13/100</f>
        <v>0.10728689824513722</v>
      </c>
      <c r="G13" s="471">
        <f t="shared" ref="G13:G19" si="1">C13+D13</f>
        <v>1.41666</v>
      </c>
      <c r="I13" s="347" t="s">
        <v>119</v>
      </c>
      <c r="J13" s="348">
        <v>4.9409999999999998</v>
      </c>
      <c r="K13" s="348">
        <v>1.0048300000000001</v>
      </c>
      <c r="L13" s="467">
        <v>54.890018149697696</v>
      </c>
      <c r="M13" s="470">
        <f t="shared" ref="M13:M19" si="2">K13*L13/100</f>
        <v>0.55155136937360749</v>
      </c>
      <c r="N13" s="471">
        <f t="shared" ref="N13:N19" si="3">J13+K13</f>
        <v>5.9458299999999999</v>
      </c>
      <c r="P13" s="347" t="s">
        <v>119</v>
      </c>
      <c r="Q13" s="348">
        <v>903.58600000000001</v>
      </c>
      <c r="R13" s="348">
        <v>164.47</v>
      </c>
      <c r="S13" s="467">
        <v>57.764741260761184</v>
      </c>
      <c r="T13" s="470">
        <f t="shared" ref="T13:T19" si="4">R13*S13/100</f>
        <v>95.005669951573921</v>
      </c>
      <c r="U13" s="471">
        <f t="shared" ref="U13:U19" si="5">Q13+R13</f>
        <v>1068.056</v>
      </c>
    </row>
    <row r="14" spans="2:21" x14ac:dyDescent="0.2">
      <c r="B14" s="349" t="s">
        <v>120</v>
      </c>
      <c r="C14" s="563">
        <v>1.5634999999999999</v>
      </c>
      <c r="D14" s="346">
        <v>1.1331000000000002</v>
      </c>
      <c r="E14" s="468">
        <v>20.601919886637319</v>
      </c>
      <c r="F14" s="472">
        <f t="shared" si="0"/>
        <v>0.23344035423548751</v>
      </c>
      <c r="G14" s="473">
        <f t="shared" si="1"/>
        <v>2.6966000000000001</v>
      </c>
      <c r="I14" s="349" t="s">
        <v>120</v>
      </c>
      <c r="J14" s="346">
        <v>112.675</v>
      </c>
      <c r="K14" s="346">
        <v>60.79166</v>
      </c>
      <c r="L14" s="468">
        <v>25.975168610366879</v>
      </c>
      <c r="M14" s="472">
        <f t="shared" si="2"/>
        <v>15.790736186040958</v>
      </c>
      <c r="N14" s="473">
        <f t="shared" si="3"/>
        <v>173.46665999999999</v>
      </c>
      <c r="P14" s="349" t="s">
        <v>120</v>
      </c>
      <c r="Q14" s="346">
        <v>4342.1310000000003</v>
      </c>
      <c r="R14" s="346">
        <v>2315.1060000000002</v>
      </c>
      <c r="S14" s="468">
        <v>25.150743598133502</v>
      </c>
      <c r="T14" s="472">
        <f t="shared" si="4"/>
        <v>582.2663740850046</v>
      </c>
      <c r="U14" s="473">
        <f t="shared" si="5"/>
        <v>6657.237000000001</v>
      </c>
    </row>
    <row r="15" spans="2:21" x14ac:dyDescent="0.2">
      <c r="B15" s="350" t="s">
        <v>121</v>
      </c>
      <c r="C15" s="563">
        <v>2.42014</v>
      </c>
      <c r="D15" s="346">
        <v>7.8218599999999991</v>
      </c>
      <c r="E15" s="468">
        <v>9.0617932982880642</v>
      </c>
      <c r="F15" s="472">
        <f t="shared" si="0"/>
        <v>0.70880078528147461</v>
      </c>
      <c r="G15" s="473">
        <f t="shared" si="1"/>
        <v>10.241999999999999</v>
      </c>
      <c r="I15" s="350" t="s">
        <v>121</v>
      </c>
      <c r="J15" s="346">
        <v>370.88599999999997</v>
      </c>
      <c r="K15" s="346">
        <v>2006.4103500000001</v>
      </c>
      <c r="L15" s="468">
        <v>10.963336460332471</v>
      </c>
      <c r="M15" s="472">
        <f t="shared" si="2"/>
        <v>219.96951744543435</v>
      </c>
      <c r="N15" s="473">
        <f t="shared" si="3"/>
        <v>2377.2963500000001</v>
      </c>
      <c r="P15" s="350" t="s">
        <v>121</v>
      </c>
      <c r="Q15" s="346">
        <v>3244.277</v>
      </c>
      <c r="R15" s="346">
        <v>7928.8469999999998</v>
      </c>
      <c r="S15" s="468">
        <v>9.7672780169100744</v>
      </c>
      <c r="T15" s="472">
        <f t="shared" si="4"/>
        <v>774.43253002543395</v>
      </c>
      <c r="U15" s="473">
        <f t="shared" si="5"/>
        <v>11173.124</v>
      </c>
    </row>
    <row r="16" spans="2:21" x14ac:dyDescent="0.2">
      <c r="B16" s="350" t="s">
        <v>122</v>
      </c>
      <c r="C16" s="563">
        <v>3.1853899999999999</v>
      </c>
      <c r="D16" s="346">
        <v>16.540220000000001</v>
      </c>
      <c r="E16" s="468">
        <v>7.6303951320715688</v>
      </c>
      <c r="F16" s="472">
        <f t="shared" si="0"/>
        <v>1.2620841417139281</v>
      </c>
      <c r="G16" s="473">
        <f t="shared" si="1"/>
        <v>19.725610000000003</v>
      </c>
      <c r="I16" s="350" t="s">
        <v>122</v>
      </c>
      <c r="J16" s="346">
        <v>725.28899999999999</v>
      </c>
      <c r="K16" s="346">
        <v>5662.0071600000001</v>
      </c>
      <c r="L16" s="468">
        <v>8.2323530806997454</v>
      </c>
      <c r="M16" s="472">
        <f t="shared" si="2"/>
        <v>466.11642086570021</v>
      </c>
      <c r="N16" s="473">
        <f t="shared" si="3"/>
        <v>6387.2961599999999</v>
      </c>
      <c r="P16" s="350" t="s">
        <v>122</v>
      </c>
      <c r="Q16" s="346">
        <v>1466.317</v>
      </c>
      <c r="R16" s="346">
        <v>8717.9639999999999</v>
      </c>
      <c r="S16" s="468">
        <v>8.1902648925683614</v>
      </c>
      <c r="T16" s="472">
        <f t="shared" si="4"/>
        <v>714.02434483874833</v>
      </c>
      <c r="U16" s="473">
        <f t="shared" si="5"/>
        <v>10184.280999999999</v>
      </c>
    </row>
    <row r="17" spans="2:21" x14ac:dyDescent="0.2">
      <c r="B17" s="350" t="s">
        <v>123</v>
      </c>
      <c r="C17" s="563">
        <v>1.2173499999999999</v>
      </c>
      <c r="D17" s="346">
        <v>4.2594699999999994</v>
      </c>
      <c r="E17" s="468">
        <v>15.432839275661669</v>
      </c>
      <c r="F17" s="472">
        <f t="shared" si="0"/>
        <v>0.65735715909502601</v>
      </c>
      <c r="G17" s="473">
        <f t="shared" si="1"/>
        <v>5.4768199999999991</v>
      </c>
      <c r="I17" s="350" t="s">
        <v>123</v>
      </c>
      <c r="J17" s="346">
        <v>355.03500000000003</v>
      </c>
      <c r="K17" s="346">
        <v>2036.74442</v>
      </c>
      <c r="L17" s="468">
        <v>18.093415768837794</v>
      </c>
      <c r="M17" s="472">
        <f t="shared" si="2"/>
        <v>368.5166360592039</v>
      </c>
      <c r="N17" s="473">
        <f t="shared" si="3"/>
        <v>2391.7794199999998</v>
      </c>
      <c r="P17" s="350" t="s">
        <v>123</v>
      </c>
      <c r="Q17" s="346">
        <v>613.95399999999995</v>
      </c>
      <c r="R17" s="346">
        <v>1687.9290000000001</v>
      </c>
      <c r="S17" s="468">
        <v>16.786349701698413</v>
      </c>
      <c r="T17" s="472">
        <f t="shared" si="4"/>
        <v>283.341664656381</v>
      </c>
      <c r="U17" s="473">
        <f t="shared" si="5"/>
        <v>2301.8829999999998</v>
      </c>
    </row>
    <row r="18" spans="2:21" x14ac:dyDescent="0.2">
      <c r="B18" s="350" t="s">
        <v>124</v>
      </c>
      <c r="C18" s="563">
        <v>0.38861000000000001</v>
      </c>
      <c r="D18" s="346">
        <v>0.22262999999999999</v>
      </c>
      <c r="E18" s="468">
        <v>48.216146469256387</v>
      </c>
      <c r="F18" s="472">
        <f t="shared" si="0"/>
        <v>0.10734360688450549</v>
      </c>
      <c r="G18" s="473">
        <f t="shared" si="1"/>
        <v>0.61124000000000001</v>
      </c>
      <c r="I18" s="350" t="s">
        <v>124</v>
      </c>
      <c r="J18" s="346">
        <v>94.933999999999997</v>
      </c>
      <c r="K18" s="346">
        <v>115.239</v>
      </c>
      <c r="L18" s="468">
        <v>45.984229184910014</v>
      </c>
      <c r="M18" s="472">
        <f t="shared" si="2"/>
        <v>52.991765870398446</v>
      </c>
      <c r="N18" s="473">
        <f t="shared" si="3"/>
        <v>210.173</v>
      </c>
      <c r="P18" s="350" t="s">
        <v>124</v>
      </c>
      <c r="Q18" s="346">
        <v>167.245</v>
      </c>
      <c r="R18" s="346">
        <v>75.39</v>
      </c>
      <c r="S18" s="468">
        <v>45.169382917400831</v>
      </c>
      <c r="T18" s="472">
        <f t="shared" si="4"/>
        <v>34.053197781428487</v>
      </c>
      <c r="U18" s="473">
        <f t="shared" si="5"/>
        <v>242.63499999999999</v>
      </c>
    </row>
    <row r="19" spans="2:21" ht="13.5" thickBot="1" x14ac:dyDescent="0.25">
      <c r="B19" s="351" t="s">
        <v>125</v>
      </c>
      <c r="C19" s="563">
        <v>7.9049999999999995E-2</v>
      </c>
      <c r="D19" s="352">
        <v>1.072E-2</v>
      </c>
      <c r="E19" s="469">
        <v>99.059999999999988</v>
      </c>
      <c r="F19" s="474">
        <f t="shared" si="0"/>
        <v>1.0619231999999999E-2</v>
      </c>
      <c r="G19" s="475">
        <f t="shared" si="1"/>
        <v>8.9769999999999989E-2</v>
      </c>
      <c r="I19" s="351" t="s">
        <v>125</v>
      </c>
      <c r="J19" s="352">
        <v>14.096</v>
      </c>
      <c r="K19" s="352">
        <v>4.2389999999999999</v>
      </c>
      <c r="L19" s="469">
        <v>99.06</v>
      </c>
      <c r="M19" s="474">
        <f t="shared" si="2"/>
        <v>4.1991534000000001</v>
      </c>
      <c r="N19" s="475">
        <f t="shared" si="3"/>
        <v>18.335000000000001</v>
      </c>
      <c r="P19" s="351" t="s">
        <v>125</v>
      </c>
      <c r="Q19" s="352">
        <v>39.765999999999998</v>
      </c>
      <c r="R19" s="352">
        <v>2.109</v>
      </c>
      <c r="S19" s="469">
        <v>99.06</v>
      </c>
      <c r="T19" s="474">
        <f t="shared" si="4"/>
        <v>2.0891754000000002</v>
      </c>
      <c r="U19" s="475">
        <f t="shared" si="5"/>
        <v>41.875</v>
      </c>
    </row>
    <row r="20" spans="2:21" x14ac:dyDescent="0.2">
      <c r="C20" s="596"/>
    </row>
    <row r="22" spans="2:21" ht="38.25" customHeight="1" x14ac:dyDescent="0.2">
      <c r="B22" s="1022" t="s">
        <v>646</v>
      </c>
      <c r="C22" s="1023"/>
      <c r="D22" s="1023"/>
      <c r="E22" s="1023"/>
      <c r="F22" s="1023"/>
      <c r="G22" s="1023"/>
      <c r="I22" s="1022" t="s">
        <v>661</v>
      </c>
      <c r="J22" s="1023"/>
      <c r="K22" s="1023"/>
      <c r="L22" s="1023"/>
      <c r="M22" s="1023"/>
      <c r="N22" s="1023"/>
      <c r="P22" s="1022" t="s">
        <v>647</v>
      </c>
      <c r="Q22" s="1023"/>
      <c r="R22" s="1023"/>
      <c r="S22" s="1023"/>
      <c r="T22" s="1023"/>
      <c r="U22" s="1023"/>
    </row>
    <row r="23" spans="2:21" ht="13.5" thickBot="1" x14ac:dyDescent="0.25">
      <c r="B23" s="444"/>
      <c r="C23" s="444" t="s">
        <v>78</v>
      </c>
      <c r="D23" s="444" t="s">
        <v>309</v>
      </c>
      <c r="E23" s="466" t="s">
        <v>82</v>
      </c>
      <c r="F23" s="444" t="s">
        <v>310</v>
      </c>
      <c r="G23" s="444" t="s">
        <v>486</v>
      </c>
      <c r="I23" s="444"/>
      <c r="J23" s="444" t="s">
        <v>78</v>
      </c>
      <c r="K23" s="444" t="s">
        <v>309</v>
      </c>
      <c r="L23" s="466" t="s">
        <v>82</v>
      </c>
      <c r="M23" s="444" t="s">
        <v>310</v>
      </c>
      <c r="N23" s="444" t="s">
        <v>486</v>
      </c>
      <c r="P23" s="444"/>
      <c r="Q23" s="444" t="s">
        <v>78</v>
      </c>
      <c r="R23" s="444" t="s">
        <v>309</v>
      </c>
      <c r="S23" s="466" t="s">
        <v>82</v>
      </c>
      <c r="T23" s="444" t="s">
        <v>310</v>
      </c>
      <c r="U23" s="444" t="s">
        <v>486</v>
      </c>
    </row>
    <row r="24" spans="2:21" x14ac:dyDescent="0.2">
      <c r="B24" s="347" t="s">
        <v>127</v>
      </c>
      <c r="C24" s="348">
        <v>0.82804000000000011</v>
      </c>
      <c r="D24" s="348">
        <v>0.42347000000000001</v>
      </c>
      <c r="E24" s="467">
        <v>32.088862770651147</v>
      </c>
      <c r="F24" s="470">
        <f t="shared" ref="F24:F32" si="6">D24*E24/100</f>
        <v>0.13588670717487641</v>
      </c>
      <c r="G24" s="471">
        <f t="shared" ref="G24:G32" si="7">C24+D24</f>
        <v>1.2515100000000001</v>
      </c>
      <c r="I24" s="347" t="s">
        <v>127</v>
      </c>
      <c r="J24" s="348">
        <v>0.59299999999999997</v>
      </c>
      <c r="K24" s="348">
        <v>0.115</v>
      </c>
      <c r="L24" s="467">
        <v>54.14</v>
      </c>
      <c r="M24" s="470">
        <f t="shared" ref="M24:M32" si="8">K24*L24/100</f>
        <v>6.2261000000000004E-2</v>
      </c>
      <c r="N24" s="471">
        <f t="shared" ref="N24:N32" si="9">J24+K24</f>
        <v>0.70799999999999996</v>
      </c>
      <c r="P24" s="347" t="s">
        <v>127</v>
      </c>
      <c r="Q24" s="348">
        <v>279.74299999999999</v>
      </c>
      <c r="R24" s="348">
        <v>330.74400000000003</v>
      </c>
      <c r="S24" s="467">
        <v>71.78</v>
      </c>
      <c r="T24" s="470">
        <f t="shared" ref="T24:T32" si="10">R24*S24/100</f>
        <v>237.40804320000004</v>
      </c>
      <c r="U24" s="471">
        <f t="shared" ref="U24:U32" si="11">Q24+R24</f>
        <v>610.48700000000008</v>
      </c>
    </row>
    <row r="25" spans="2:21" x14ac:dyDescent="0.2">
      <c r="B25" s="349" t="s">
        <v>128</v>
      </c>
      <c r="C25" s="346">
        <v>0.90040999999999982</v>
      </c>
      <c r="D25" s="346">
        <v>0.7730800000000001</v>
      </c>
      <c r="E25" s="468">
        <v>25.879495094565936</v>
      </c>
      <c r="F25" s="472">
        <f t="shared" si="6"/>
        <v>0.20006920067707035</v>
      </c>
      <c r="G25" s="473">
        <f t="shared" si="7"/>
        <v>1.6734899999999999</v>
      </c>
      <c r="I25" s="349" t="s">
        <v>128</v>
      </c>
      <c r="J25" s="346">
        <v>28.018000000000001</v>
      </c>
      <c r="K25" s="346">
        <v>26.494</v>
      </c>
      <c r="L25" s="468">
        <v>34.02826697678735</v>
      </c>
      <c r="M25" s="472">
        <f t="shared" si="8"/>
        <v>9.0154490528300411</v>
      </c>
      <c r="N25" s="473">
        <f t="shared" si="9"/>
        <v>54.512</v>
      </c>
      <c r="P25" s="349" t="s">
        <v>128</v>
      </c>
      <c r="Q25" s="346">
        <v>2434.0619999999999</v>
      </c>
      <c r="R25" s="346">
        <v>1758.7819999999999</v>
      </c>
      <c r="S25" s="468">
        <v>28.935416913121543</v>
      </c>
      <c r="T25" s="472">
        <f t="shared" si="10"/>
        <v>508.91090429293735</v>
      </c>
      <c r="U25" s="473">
        <f t="shared" si="11"/>
        <v>4192.8440000000001</v>
      </c>
    </row>
    <row r="26" spans="2:21" x14ac:dyDescent="0.2">
      <c r="B26" s="349" t="s">
        <v>129</v>
      </c>
      <c r="C26" s="346">
        <v>1.9110799999999999</v>
      </c>
      <c r="D26" s="346">
        <v>0.89373999999999998</v>
      </c>
      <c r="E26" s="468">
        <v>18.549572516976266</v>
      </c>
      <c r="F26" s="472">
        <f t="shared" si="6"/>
        <v>0.16578494941322369</v>
      </c>
      <c r="G26" s="473">
        <f t="shared" si="7"/>
        <v>2.8048199999999999</v>
      </c>
      <c r="I26" s="349" t="s">
        <v>129</v>
      </c>
      <c r="J26" s="346">
        <v>219.74299999999999</v>
      </c>
      <c r="K26" s="346">
        <v>92.682000000000002</v>
      </c>
      <c r="L26" s="468">
        <v>23.055844613491448</v>
      </c>
      <c r="M26" s="472">
        <f t="shared" si="8"/>
        <v>21.368617904676142</v>
      </c>
      <c r="N26" s="473">
        <f t="shared" si="9"/>
        <v>312.42500000000001</v>
      </c>
      <c r="P26" s="349" t="s">
        <v>129</v>
      </c>
      <c r="Q26" s="346">
        <v>4965.6769999999997</v>
      </c>
      <c r="R26" s="346">
        <v>1430.03</v>
      </c>
      <c r="S26" s="468">
        <v>20.577049618607926</v>
      </c>
      <c r="T26" s="472">
        <f t="shared" si="10"/>
        <v>294.25798266097894</v>
      </c>
      <c r="U26" s="473">
        <f t="shared" si="11"/>
        <v>6395.7069999999994</v>
      </c>
    </row>
    <row r="27" spans="2:21" x14ac:dyDescent="0.2">
      <c r="B27" s="349" t="s">
        <v>130</v>
      </c>
      <c r="C27" s="346">
        <v>0.78869</v>
      </c>
      <c r="D27" s="346">
        <v>3.5272299999999999</v>
      </c>
      <c r="E27" s="468">
        <v>13.643728754659683</v>
      </c>
      <c r="F27" s="472">
        <f t="shared" si="6"/>
        <v>0.48124569375298271</v>
      </c>
      <c r="G27" s="473">
        <f t="shared" si="7"/>
        <v>4.3159200000000002</v>
      </c>
      <c r="I27" s="349" t="s">
        <v>130</v>
      </c>
      <c r="J27" s="346">
        <v>142.137</v>
      </c>
      <c r="K27" s="346">
        <v>850.09100000000001</v>
      </c>
      <c r="L27" s="468">
        <v>14.377748877931829</v>
      </c>
      <c r="M27" s="472">
        <f t="shared" si="8"/>
        <v>122.22394921389947</v>
      </c>
      <c r="N27" s="473">
        <f t="shared" si="9"/>
        <v>992.22800000000007</v>
      </c>
      <c r="P27" s="349" t="s">
        <v>130</v>
      </c>
      <c r="Q27" s="346">
        <v>1038.454</v>
      </c>
      <c r="R27" s="346">
        <v>4193.8519999999999</v>
      </c>
      <c r="S27" s="468">
        <v>14.868973743206086</v>
      </c>
      <c r="T27" s="472">
        <f t="shared" si="10"/>
        <v>623.58275270892329</v>
      </c>
      <c r="U27" s="473">
        <f t="shared" si="11"/>
        <v>5232.3059999999996</v>
      </c>
    </row>
    <row r="28" spans="2:21" x14ac:dyDescent="0.2">
      <c r="B28" s="349" t="s">
        <v>131</v>
      </c>
      <c r="C28" s="346">
        <v>2.4088900000000004</v>
      </c>
      <c r="D28" s="346">
        <v>9.0711300000000001</v>
      </c>
      <c r="E28" s="468">
        <v>8.8307790129819796</v>
      </c>
      <c r="F28" s="472">
        <f t="shared" si="6"/>
        <v>0.80105144428031227</v>
      </c>
      <c r="G28" s="473">
        <f t="shared" si="7"/>
        <v>11.48002</v>
      </c>
      <c r="I28" s="349" t="s">
        <v>131</v>
      </c>
      <c r="J28" s="346">
        <v>543.11</v>
      </c>
      <c r="K28" s="346">
        <v>3049.6930000000002</v>
      </c>
      <c r="L28" s="468">
        <v>9.1126150566931674</v>
      </c>
      <c r="M28" s="472">
        <f t="shared" si="8"/>
        <v>277.90678350091758</v>
      </c>
      <c r="N28" s="473">
        <f t="shared" si="9"/>
        <v>3592.8030000000003</v>
      </c>
      <c r="P28" s="349" t="s">
        <v>131</v>
      </c>
      <c r="Q28" s="346">
        <v>1430.096</v>
      </c>
      <c r="R28" s="346">
        <v>6795.375</v>
      </c>
      <c r="S28" s="468">
        <v>10.132957750765719</v>
      </c>
      <c r="T28" s="472">
        <f t="shared" si="10"/>
        <v>688.57247775609608</v>
      </c>
      <c r="U28" s="473">
        <f t="shared" si="11"/>
        <v>8225.4709999999995</v>
      </c>
    </row>
    <row r="29" spans="2:21" x14ac:dyDescent="0.2">
      <c r="B29" s="349" t="s">
        <v>132</v>
      </c>
      <c r="C29" s="346">
        <v>2.11808</v>
      </c>
      <c r="D29" s="346">
        <v>10.19084</v>
      </c>
      <c r="E29" s="468">
        <v>9.9209581352437954</v>
      </c>
      <c r="F29" s="472">
        <f t="shared" si="6"/>
        <v>1.0110289700296788</v>
      </c>
      <c r="G29" s="473">
        <f t="shared" si="7"/>
        <v>12.308920000000001</v>
      </c>
      <c r="I29" s="349" t="s">
        <v>132</v>
      </c>
      <c r="J29" s="346">
        <v>492.26100000000002</v>
      </c>
      <c r="K29" s="346">
        <v>3915.915</v>
      </c>
      <c r="L29" s="468">
        <v>10.822809612035297</v>
      </c>
      <c r="M29" s="472">
        <f t="shared" si="8"/>
        <v>423.81202501913197</v>
      </c>
      <c r="N29" s="473">
        <f t="shared" si="9"/>
        <v>4408.1760000000004</v>
      </c>
      <c r="P29" s="349" t="s">
        <v>132</v>
      </c>
      <c r="Q29" s="346">
        <v>544.31200000000001</v>
      </c>
      <c r="R29" s="346">
        <v>3557.6509999999998</v>
      </c>
      <c r="S29" s="468">
        <v>11.414616146583692</v>
      </c>
      <c r="T29" s="472">
        <f t="shared" si="10"/>
        <v>406.09220548509614</v>
      </c>
      <c r="U29" s="473">
        <f t="shared" si="11"/>
        <v>4101.9629999999997</v>
      </c>
    </row>
    <row r="30" spans="2:21" x14ac:dyDescent="0.2">
      <c r="B30" s="349" t="s">
        <v>133</v>
      </c>
      <c r="C30" s="346">
        <v>0.89942999999999995</v>
      </c>
      <c r="D30" s="346">
        <v>5.1214099999999991</v>
      </c>
      <c r="E30" s="468">
        <v>12.908074466883152</v>
      </c>
      <c r="F30" s="472">
        <f t="shared" si="6"/>
        <v>0.66107541655440027</v>
      </c>
      <c r="G30" s="473">
        <f t="shared" si="7"/>
        <v>6.0208399999999989</v>
      </c>
      <c r="I30" s="349" t="s">
        <v>133</v>
      </c>
      <c r="J30" s="346">
        <v>242.376</v>
      </c>
      <c r="K30" s="346">
        <v>2650.4560000000001</v>
      </c>
      <c r="L30" s="468">
        <v>13.078134371384348</v>
      </c>
      <c r="M30" s="472">
        <f t="shared" si="8"/>
        <v>346.63019713441878</v>
      </c>
      <c r="N30" s="473">
        <f t="shared" si="9"/>
        <v>2892.8320000000003</v>
      </c>
      <c r="P30" s="349" t="s">
        <v>133</v>
      </c>
      <c r="Q30" s="346">
        <v>145.489</v>
      </c>
      <c r="R30" s="346">
        <v>1285.8879999999999</v>
      </c>
      <c r="S30" s="468">
        <v>16.707516243486911</v>
      </c>
      <c r="T30" s="472">
        <f t="shared" si="10"/>
        <v>214.83994647304894</v>
      </c>
      <c r="U30" s="473">
        <f t="shared" si="11"/>
        <v>1431.377</v>
      </c>
    </row>
    <row r="31" spans="2:21" x14ac:dyDescent="0.2">
      <c r="B31" s="349" t="s">
        <v>134</v>
      </c>
      <c r="C31" s="346">
        <v>2.6429999999999999E-2</v>
      </c>
      <c r="D31" s="346">
        <v>0.26883000000000001</v>
      </c>
      <c r="E31" s="468">
        <v>107.5128392004183</v>
      </c>
      <c r="F31" s="472">
        <f t="shared" si="6"/>
        <v>0.28902676562248453</v>
      </c>
      <c r="G31" s="473">
        <f t="shared" si="7"/>
        <v>0.29526000000000002</v>
      </c>
      <c r="I31" s="349" t="s">
        <v>134</v>
      </c>
      <c r="J31" s="346">
        <v>6.1529999999999996</v>
      </c>
      <c r="K31" s="346">
        <v>129.73400000000001</v>
      </c>
      <c r="L31" s="468">
        <v>107.43942764865476</v>
      </c>
      <c r="M31" s="472">
        <f t="shared" si="8"/>
        <v>139.38546706570577</v>
      </c>
      <c r="N31" s="473">
        <f t="shared" si="9"/>
        <v>135.887</v>
      </c>
      <c r="P31" s="349" t="s">
        <v>134</v>
      </c>
      <c r="Q31" s="346">
        <v>1.7090000000000001</v>
      </c>
      <c r="R31" s="346">
        <v>32.201000000000001</v>
      </c>
      <c r="S31" s="468">
        <v>220.75994542862639</v>
      </c>
      <c r="T31" s="472">
        <f t="shared" si="10"/>
        <v>71.086910027471987</v>
      </c>
      <c r="U31" s="473">
        <f t="shared" si="11"/>
        <v>33.910000000000004</v>
      </c>
    </row>
    <row r="32" spans="2:21" ht="13.5" thickBot="1" x14ac:dyDescent="0.25">
      <c r="B32" s="351" t="s">
        <v>135</v>
      </c>
      <c r="C32" s="352">
        <v>1.5089999999999999E-2</v>
      </c>
      <c r="D32" s="352">
        <v>7.637999999999999E-2</v>
      </c>
      <c r="E32" s="469">
        <v>100.92027242957604</v>
      </c>
      <c r="F32" s="474">
        <f t="shared" si="6"/>
        <v>7.7082904081710174E-2</v>
      </c>
      <c r="G32" s="475">
        <f t="shared" si="7"/>
        <v>9.1469999999999996E-2</v>
      </c>
      <c r="I32" s="351" t="s">
        <v>135</v>
      </c>
      <c r="J32" s="352">
        <v>3.472</v>
      </c>
      <c r="K32" s="352">
        <v>62.966999999999999</v>
      </c>
      <c r="L32" s="469">
        <v>83.223317364211283</v>
      </c>
      <c r="M32" s="474">
        <f t="shared" si="8"/>
        <v>52.403226244722916</v>
      </c>
      <c r="N32" s="475">
        <f t="shared" si="9"/>
        <v>66.438999999999993</v>
      </c>
      <c r="P32" s="351" t="s">
        <v>135</v>
      </c>
      <c r="Q32" s="352">
        <v>0.35799999999999998</v>
      </c>
      <c r="R32" s="352">
        <v>8.8919999999999995</v>
      </c>
      <c r="S32" s="469">
        <v>87.438759348359838</v>
      </c>
      <c r="T32" s="474">
        <f t="shared" si="10"/>
        <v>7.7750544812561566</v>
      </c>
      <c r="U32" s="475">
        <f t="shared" si="11"/>
        <v>9.25</v>
      </c>
    </row>
    <row r="35" spans="2:21" ht="29.25" customHeight="1" x14ac:dyDescent="0.2">
      <c r="B35" s="1022" t="s">
        <v>382</v>
      </c>
      <c r="C35" s="1023"/>
      <c r="D35" s="1023"/>
      <c r="E35" s="1023"/>
      <c r="F35" s="1023"/>
      <c r="G35" s="1023"/>
      <c r="I35" s="1022" t="s">
        <v>383</v>
      </c>
      <c r="J35" s="1023"/>
      <c r="K35" s="1023"/>
      <c r="L35" s="1023"/>
      <c r="M35" s="1023"/>
      <c r="N35" s="1023"/>
      <c r="P35" s="1022" t="s">
        <v>384</v>
      </c>
      <c r="Q35" s="1023"/>
      <c r="R35" s="1023"/>
      <c r="S35" s="1023"/>
      <c r="T35" s="1023"/>
      <c r="U35" s="1023"/>
    </row>
    <row r="36" spans="2:21" ht="39" thickBot="1" x14ac:dyDescent="0.25">
      <c r="B36" s="444"/>
      <c r="C36" s="444"/>
      <c r="D36" s="444"/>
      <c r="E36" s="444"/>
      <c r="F36" s="444"/>
      <c r="G36" s="345" t="s">
        <v>477</v>
      </c>
      <c r="I36" s="444"/>
      <c r="J36" s="444"/>
      <c r="K36" s="444"/>
      <c r="L36" s="444"/>
      <c r="M36" s="444"/>
      <c r="N36" s="345" t="s">
        <v>488</v>
      </c>
      <c r="P36" s="444"/>
      <c r="Q36" s="444"/>
      <c r="R36" s="444"/>
      <c r="S36" s="444"/>
      <c r="T36" s="444"/>
      <c r="U36" s="345" t="s">
        <v>478</v>
      </c>
    </row>
    <row r="37" spans="2:21" x14ac:dyDescent="0.2">
      <c r="B37" s="347" t="s">
        <v>648</v>
      </c>
      <c r="C37" s="348"/>
      <c r="D37" s="348"/>
      <c r="E37" s="348"/>
      <c r="F37" s="348"/>
      <c r="G37" s="471">
        <f>G8</f>
        <v>40.246110000000002</v>
      </c>
      <c r="I37" s="347" t="s">
        <v>648</v>
      </c>
      <c r="J37" s="348"/>
      <c r="K37" s="348"/>
      <c r="L37" s="348"/>
      <c r="M37" s="348"/>
      <c r="N37" s="471">
        <f>N8</f>
        <v>12456.003000000001</v>
      </c>
      <c r="P37" s="347" t="s">
        <v>648</v>
      </c>
      <c r="Q37" s="348"/>
      <c r="R37" s="348"/>
      <c r="S37" s="348"/>
      <c r="T37" s="348"/>
      <c r="U37" s="471">
        <f>U8</f>
        <v>31731.709000000003</v>
      </c>
    </row>
    <row r="38" spans="2:21" ht="25.5" x14ac:dyDescent="0.2">
      <c r="B38" s="353" t="s">
        <v>656</v>
      </c>
      <c r="C38" s="346"/>
      <c r="D38" s="346"/>
      <c r="E38" s="346"/>
      <c r="F38" s="346"/>
      <c r="G38" s="473">
        <f>G6-G8</f>
        <v>264.80389000000002</v>
      </c>
      <c r="I38" s="353" t="s">
        <v>656</v>
      </c>
      <c r="J38" s="346"/>
      <c r="K38" s="346"/>
      <c r="L38" s="346"/>
      <c r="M38" s="346"/>
      <c r="N38" s="473">
        <f>N6-N8</f>
        <v>77539.513000000006</v>
      </c>
      <c r="P38" s="353" t="s">
        <v>656</v>
      </c>
      <c r="Q38" s="346"/>
      <c r="R38" s="346"/>
      <c r="S38" s="346"/>
      <c r="T38" s="346"/>
      <c r="U38" s="473">
        <f>U6-U8</f>
        <v>273473.35800000001</v>
      </c>
    </row>
    <row r="39" spans="2:21" ht="13.5" thickBot="1" x14ac:dyDescent="0.25">
      <c r="B39" s="351" t="s">
        <v>93</v>
      </c>
      <c r="C39" s="352"/>
      <c r="D39" s="352"/>
      <c r="E39" s="352"/>
      <c r="F39" s="352"/>
      <c r="G39" s="475">
        <f>G7</f>
        <v>892.08</v>
      </c>
      <c r="I39" s="351" t="s">
        <v>93</v>
      </c>
      <c r="J39" s="352"/>
      <c r="K39" s="352"/>
      <c r="L39" s="352"/>
      <c r="M39" s="352"/>
      <c r="N39" s="475">
        <f>N7</f>
        <v>177942.09700000001</v>
      </c>
      <c r="P39" s="351" t="s">
        <v>93</v>
      </c>
      <c r="Q39" s="352"/>
      <c r="R39" s="352"/>
      <c r="S39" s="352"/>
      <c r="T39" s="352"/>
      <c r="U39" s="475">
        <f>U7</f>
        <v>1041478.706</v>
      </c>
    </row>
  </sheetData>
  <mergeCells count="12">
    <mergeCell ref="B3:G3"/>
    <mergeCell ref="I3:N3"/>
    <mergeCell ref="P3:U3"/>
    <mergeCell ref="B35:G35"/>
    <mergeCell ref="I35:N35"/>
    <mergeCell ref="P35:U35"/>
    <mergeCell ref="B11:G11"/>
    <mergeCell ref="I11:N11"/>
    <mergeCell ref="P11:U11"/>
    <mergeCell ref="B22:G22"/>
    <mergeCell ref="I22:N22"/>
    <mergeCell ref="P22:U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3:V96"/>
  <sheetViews>
    <sheetView zoomScale="80" zoomScaleNormal="80" workbookViewId="0"/>
  </sheetViews>
  <sheetFormatPr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1024" t="s">
        <v>737</v>
      </c>
      <c r="C3" s="1025"/>
      <c r="D3" s="1025"/>
      <c r="E3" s="1025"/>
      <c r="F3" s="1025"/>
      <c r="G3" s="1025"/>
      <c r="I3" s="1024" t="s">
        <v>736</v>
      </c>
      <c r="J3" s="1025"/>
      <c r="K3" s="1025"/>
      <c r="L3" s="1025"/>
      <c r="M3" s="1025"/>
      <c r="N3" s="1025"/>
      <c r="P3" s="1024" t="s">
        <v>735</v>
      </c>
      <c r="Q3" s="1025"/>
      <c r="R3" s="1025"/>
      <c r="S3" s="1025"/>
      <c r="T3" s="1025"/>
      <c r="U3" s="1025"/>
    </row>
    <row r="4" spans="2:21" ht="13.5" thickBot="1" x14ac:dyDescent="0.25">
      <c r="B4" s="614"/>
      <c r="C4" s="614" t="s">
        <v>78</v>
      </c>
      <c r="D4" s="614" t="s">
        <v>309</v>
      </c>
      <c r="E4" s="619" t="s">
        <v>82</v>
      </c>
      <c r="F4" s="614" t="s">
        <v>310</v>
      </c>
      <c r="G4" s="614" t="s">
        <v>486</v>
      </c>
      <c r="I4" s="614"/>
      <c r="J4" s="614" t="s">
        <v>78</v>
      </c>
      <c r="K4" s="614" t="s">
        <v>309</v>
      </c>
      <c r="L4" s="619" t="s">
        <v>82</v>
      </c>
      <c r="M4" s="614" t="s">
        <v>310</v>
      </c>
      <c r="N4" s="614" t="s">
        <v>486</v>
      </c>
      <c r="P4" s="614"/>
      <c r="Q4" s="614" t="s">
        <v>78</v>
      </c>
      <c r="R4" s="614" t="s">
        <v>309</v>
      </c>
      <c r="S4" s="619" t="s">
        <v>82</v>
      </c>
      <c r="T4" s="614" t="s">
        <v>310</v>
      </c>
      <c r="U4" s="614" t="s">
        <v>486</v>
      </c>
    </row>
    <row r="5" spans="2:21" x14ac:dyDescent="0.2">
      <c r="B5" s="612" t="s">
        <v>721</v>
      </c>
      <c r="C5" s="618">
        <v>181.17345999999995</v>
      </c>
      <c r="D5" s="618">
        <v>1016.37209</v>
      </c>
      <c r="E5" s="617">
        <v>0.64792943065038755</v>
      </c>
      <c r="F5" s="616">
        <f>D5*E5/100</f>
        <v>6.5853738960264447</v>
      </c>
      <c r="G5" s="615">
        <f>C5+D5</f>
        <v>1197.5455499999998</v>
      </c>
      <c r="I5" s="612" t="s">
        <v>721</v>
      </c>
      <c r="J5" s="618">
        <v>35136.934000000001</v>
      </c>
      <c r="K5" s="618">
        <v>232722.22099999999</v>
      </c>
      <c r="L5" s="617">
        <v>1.3249205983688215</v>
      </c>
      <c r="M5" s="616">
        <f>K5*L5/100</f>
        <v>3083.3846430104109</v>
      </c>
      <c r="N5" s="615">
        <f>J5+K5</f>
        <v>267859.15499999997</v>
      </c>
      <c r="P5" s="612" t="s">
        <v>721</v>
      </c>
      <c r="Q5" s="618">
        <v>207905.27900000001</v>
      </c>
      <c r="R5" s="618">
        <v>1139545.4410000001</v>
      </c>
      <c r="S5" s="617">
        <v>1.2114807274468335</v>
      </c>
      <c r="T5" s="616">
        <f>R5*S5/100</f>
        <v>13805.373398214029</v>
      </c>
      <c r="U5" s="615">
        <f>Q5+R5</f>
        <v>1347450.7200000002</v>
      </c>
    </row>
    <row r="6" spans="2:21" x14ac:dyDescent="0.2">
      <c r="B6" s="608" t="s">
        <v>286</v>
      </c>
      <c r="C6" s="346">
        <v>16.338729999999998</v>
      </c>
      <c r="D6" s="346">
        <v>59.816089999999996</v>
      </c>
      <c r="E6" s="468">
        <v>1.7</v>
      </c>
      <c r="F6" s="472">
        <f t="shared" ref="F6:F19" si="0">D6*E6/100</f>
        <v>1.0168735299999998</v>
      </c>
      <c r="G6" s="473">
        <f t="shared" ref="G6:G19" si="1">C6+D6</f>
        <v>76.154820000000001</v>
      </c>
      <c r="I6" s="608" t="s">
        <v>286</v>
      </c>
      <c r="J6" s="346">
        <v>3059.9879999999998</v>
      </c>
      <c r="K6" s="346">
        <v>13512.279</v>
      </c>
      <c r="L6" s="468">
        <v>4.5599999999999996</v>
      </c>
      <c r="M6" s="472">
        <f t="shared" ref="M6:M19" si="2">K6*L6/100</f>
        <v>616.15992240000003</v>
      </c>
      <c r="N6" s="473">
        <f t="shared" ref="N6:N19" si="3">J6+K6</f>
        <v>16572.267</v>
      </c>
      <c r="P6" s="608" t="s">
        <v>286</v>
      </c>
      <c r="Q6" s="346">
        <v>26134.491999999998</v>
      </c>
      <c r="R6" s="346">
        <v>62577.341999999997</v>
      </c>
      <c r="S6" s="468">
        <v>4.51</v>
      </c>
      <c r="T6" s="472">
        <f t="shared" ref="T6:T19" si="4">R6*S6/100</f>
        <v>2822.2381241999997</v>
      </c>
      <c r="U6" s="473">
        <f>Q6+R6</f>
        <v>88711.834000000003</v>
      </c>
    </row>
    <row r="7" spans="2:21" x14ac:dyDescent="0.2">
      <c r="B7" s="609" t="s">
        <v>307</v>
      </c>
      <c r="C7" s="346">
        <v>10.266860000000001</v>
      </c>
      <c r="D7" s="346">
        <v>96.409600000000012</v>
      </c>
      <c r="E7" s="468">
        <v>2</v>
      </c>
      <c r="F7" s="472">
        <f t="shared" si="0"/>
        <v>1.9281920000000001</v>
      </c>
      <c r="G7" s="473">
        <f t="shared" si="1"/>
        <v>106.67646000000002</v>
      </c>
      <c r="I7" s="609" t="s">
        <v>307</v>
      </c>
      <c r="J7" s="346">
        <v>2115.39</v>
      </c>
      <c r="K7" s="346">
        <v>23618.437999999998</v>
      </c>
      <c r="L7" s="468">
        <v>4.5599999999999996</v>
      </c>
      <c r="M7" s="472">
        <f t="shared" si="2"/>
        <v>1077.0007727999998</v>
      </c>
      <c r="N7" s="473">
        <f t="shared" si="3"/>
        <v>25733.827999999998</v>
      </c>
      <c r="P7" s="609" t="s">
        <v>307</v>
      </c>
      <c r="Q7" s="346">
        <v>10544.929</v>
      </c>
      <c r="R7" s="346">
        <v>113611.928</v>
      </c>
      <c r="S7" s="468">
        <v>3.79</v>
      </c>
      <c r="T7" s="472">
        <f t="shared" si="4"/>
        <v>4305.8920711999999</v>
      </c>
      <c r="U7" s="473">
        <f t="shared" ref="U7:U19" si="5">Q7+R7</f>
        <v>124156.857</v>
      </c>
    </row>
    <row r="8" spans="2:21" x14ac:dyDescent="0.2">
      <c r="B8" s="608" t="s">
        <v>287</v>
      </c>
      <c r="C8" s="346">
        <v>21.707750000000001</v>
      </c>
      <c r="D8" s="346">
        <v>102.52519000000001</v>
      </c>
      <c r="E8" s="468">
        <v>1.44</v>
      </c>
      <c r="F8" s="472">
        <f t="shared" si="0"/>
        <v>1.476362736</v>
      </c>
      <c r="G8" s="473">
        <f t="shared" si="1"/>
        <v>124.23294000000001</v>
      </c>
      <c r="I8" s="608" t="s">
        <v>287</v>
      </c>
      <c r="J8" s="346">
        <v>3921.0219999999999</v>
      </c>
      <c r="K8" s="346">
        <v>19729.57</v>
      </c>
      <c r="L8" s="468">
        <v>4.33</v>
      </c>
      <c r="M8" s="472">
        <f t="shared" si="2"/>
        <v>854.29038100000002</v>
      </c>
      <c r="N8" s="473">
        <f t="shared" si="3"/>
        <v>23650.592000000001</v>
      </c>
      <c r="P8" s="608" t="s">
        <v>287</v>
      </c>
      <c r="Q8" s="346">
        <v>23072.591</v>
      </c>
      <c r="R8" s="346">
        <v>105963.91800000001</v>
      </c>
      <c r="S8" s="468">
        <v>4.3099999999999996</v>
      </c>
      <c r="T8" s="472">
        <f t="shared" si="4"/>
        <v>4567.0448657999996</v>
      </c>
      <c r="U8" s="473">
        <f t="shared" si="5"/>
        <v>129036.50900000001</v>
      </c>
    </row>
    <row r="9" spans="2:21" x14ac:dyDescent="0.2">
      <c r="B9" s="609" t="s">
        <v>288</v>
      </c>
      <c r="C9" s="346">
        <v>6.7304899999999996</v>
      </c>
      <c r="D9" s="346">
        <v>44.435970000000005</v>
      </c>
      <c r="E9" s="468">
        <v>1.81</v>
      </c>
      <c r="F9" s="472">
        <f t="shared" si="0"/>
        <v>0.80429105700000003</v>
      </c>
      <c r="G9" s="473">
        <f t="shared" si="1"/>
        <v>51.166460000000001</v>
      </c>
      <c r="I9" s="609" t="s">
        <v>288</v>
      </c>
      <c r="J9" s="346">
        <v>1308.79</v>
      </c>
      <c r="K9" s="346">
        <v>8339.4599999999991</v>
      </c>
      <c r="L9" s="468">
        <v>7.13</v>
      </c>
      <c r="M9" s="472">
        <f t="shared" si="2"/>
        <v>594.60349799999995</v>
      </c>
      <c r="N9" s="473">
        <f t="shared" si="3"/>
        <v>9648.25</v>
      </c>
      <c r="P9" s="609" t="s">
        <v>288</v>
      </c>
      <c r="Q9" s="346">
        <v>5171.6210000000001</v>
      </c>
      <c r="R9" s="346">
        <v>45528.826000000001</v>
      </c>
      <c r="S9" s="468">
        <v>6.43</v>
      </c>
      <c r="T9" s="472">
        <f t="shared" si="4"/>
        <v>2927.5035118000001</v>
      </c>
      <c r="U9" s="473">
        <f t="shared" si="5"/>
        <v>50700.447</v>
      </c>
    </row>
    <row r="10" spans="2:21" x14ac:dyDescent="0.2">
      <c r="B10" s="608" t="s">
        <v>305</v>
      </c>
      <c r="C10" s="346">
        <v>1.2154100000000001</v>
      </c>
      <c r="D10" s="346">
        <v>25.682310000000001</v>
      </c>
      <c r="E10" s="468">
        <v>15.99</v>
      </c>
      <c r="F10" s="472">
        <f t="shared" si="0"/>
        <v>4.1066013689999998</v>
      </c>
      <c r="G10" s="473">
        <f t="shared" si="1"/>
        <v>26.89772</v>
      </c>
      <c r="I10" s="608" t="s">
        <v>305</v>
      </c>
      <c r="J10" s="346">
        <v>179.892</v>
      </c>
      <c r="K10" s="346">
        <v>4595.5990000000002</v>
      </c>
      <c r="L10" s="468">
        <v>12.35</v>
      </c>
      <c r="M10" s="472">
        <f t="shared" si="2"/>
        <v>567.55647650000003</v>
      </c>
      <c r="N10" s="473">
        <f t="shared" si="3"/>
        <v>4775.491</v>
      </c>
      <c r="P10" s="608" t="s">
        <v>305</v>
      </c>
      <c r="Q10" s="346">
        <v>1222.0129999999999</v>
      </c>
      <c r="R10" s="346">
        <v>22610.062999999998</v>
      </c>
      <c r="S10" s="468">
        <v>10.77</v>
      </c>
      <c r="T10" s="472">
        <f t="shared" si="4"/>
        <v>2435.1037850999996</v>
      </c>
      <c r="U10" s="473">
        <f t="shared" si="5"/>
        <v>23832.075999999997</v>
      </c>
    </row>
    <row r="11" spans="2:21" x14ac:dyDescent="0.2">
      <c r="B11" s="609" t="s">
        <v>289</v>
      </c>
      <c r="C11" s="346">
        <v>0.72744000000000009</v>
      </c>
      <c r="D11" s="346">
        <v>32.458410000000001</v>
      </c>
      <c r="E11" s="468">
        <v>1.9</v>
      </c>
      <c r="F11" s="472">
        <f t="shared" si="0"/>
        <v>0.61670978999999992</v>
      </c>
      <c r="G11" s="473">
        <f t="shared" si="1"/>
        <v>33.185850000000002</v>
      </c>
      <c r="I11" s="609" t="s">
        <v>289</v>
      </c>
      <c r="J11" s="346">
        <v>107.497</v>
      </c>
      <c r="K11" s="346">
        <v>6357.6980000000003</v>
      </c>
      <c r="L11" s="468">
        <v>12.52</v>
      </c>
      <c r="M11" s="472">
        <f t="shared" si="2"/>
        <v>795.98378960000002</v>
      </c>
      <c r="N11" s="473">
        <f t="shared" si="3"/>
        <v>6465.1950000000006</v>
      </c>
      <c r="P11" s="609" t="s">
        <v>289</v>
      </c>
      <c r="Q11" s="346">
        <v>615.24</v>
      </c>
      <c r="R11" s="346">
        <v>29559.473000000002</v>
      </c>
      <c r="S11" s="468">
        <v>6.72</v>
      </c>
      <c r="T11" s="472">
        <f t="shared" si="4"/>
        <v>1986.3965856000002</v>
      </c>
      <c r="U11" s="473">
        <f t="shared" si="5"/>
        <v>30174.713000000003</v>
      </c>
    </row>
    <row r="12" spans="2:21" x14ac:dyDescent="0.2">
      <c r="B12" s="608" t="s">
        <v>306</v>
      </c>
      <c r="C12" s="346">
        <v>5.3738100000000006</v>
      </c>
      <c r="D12" s="346">
        <v>91.230199999999996</v>
      </c>
      <c r="E12" s="468">
        <v>2.84</v>
      </c>
      <c r="F12" s="472">
        <f t="shared" si="0"/>
        <v>2.5909376799999997</v>
      </c>
      <c r="G12" s="473">
        <f t="shared" si="1"/>
        <v>96.604010000000002</v>
      </c>
      <c r="I12" s="608" t="s">
        <v>306</v>
      </c>
      <c r="J12" s="346">
        <v>894.36300000000006</v>
      </c>
      <c r="K12" s="346">
        <v>19693.312000000002</v>
      </c>
      <c r="L12" s="468">
        <v>4.33</v>
      </c>
      <c r="M12" s="472">
        <f t="shared" si="2"/>
        <v>852.72040960000015</v>
      </c>
      <c r="N12" s="473">
        <f t="shared" si="3"/>
        <v>20587.675000000003</v>
      </c>
      <c r="P12" s="608" t="s">
        <v>306</v>
      </c>
      <c r="Q12" s="346">
        <v>6501.2479999999996</v>
      </c>
      <c r="R12" s="346">
        <v>128190.28200000001</v>
      </c>
      <c r="S12" s="468">
        <v>4.63</v>
      </c>
      <c r="T12" s="472">
        <f t="shared" si="4"/>
        <v>5935.2100565999999</v>
      </c>
      <c r="U12" s="473">
        <f t="shared" si="5"/>
        <v>134691.53</v>
      </c>
    </row>
    <row r="13" spans="2:21" x14ac:dyDescent="0.2">
      <c r="B13" s="609" t="s">
        <v>290</v>
      </c>
      <c r="C13" s="346">
        <v>8.6968199999999989</v>
      </c>
      <c r="D13" s="346">
        <v>38.227789999999999</v>
      </c>
      <c r="E13" s="468">
        <v>1.84</v>
      </c>
      <c r="F13" s="472">
        <f t="shared" si="0"/>
        <v>0.70339133599999992</v>
      </c>
      <c r="G13" s="473">
        <f t="shared" si="1"/>
        <v>46.924610000000001</v>
      </c>
      <c r="I13" s="609" t="s">
        <v>290</v>
      </c>
      <c r="J13" s="346">
        <v>1485.0840000000001</v>
      </c>
      <c r="K13" s="346">
        <v>7796.9870000000001</v>
      </c>
      <c r="L13" s="468">
        <v>6.37</v>
      </c>
      <c r="M13" s="472">
        <f t="shared" si="2"/>
        <v>496.66807189999997</v>
      </c>
      <c r="N13" s="473">
        <f t="shared" si="3"/>
        <v>9282.0709999999999</v>
      </c>
      <c r="P13" s="609" t="s">
        <v>290</v>
      </c>
      <c r="Q13" s="346">
        <v>10051.968999999999</v>
      </c>
      <c r="R13" s="346">
        <v>42679.970999999998</v>
      </c>
      <c r="S13" s="468">
        <v>5.85</v>
      </c>
      <c r="T13" s="472">
        <f t="shared" si="4"/>
        <v>2496.7783034999998</v>
      </c>
      <c r="U13" s="473">
        <f t="shared" si="5"/>
        <v>52731.939999999995</v>
      </c>
    </row>
    <row r="14" spans="2:21" x14ac:dyDescent="0.2">
      <c r="B14" s="608" t="s">
        <v>291</v>
      </c>
      <c r="C14" s="346">
        <v>40.127139999999997</v>
      </c>
      <c r="D14" s="346">
        <v>60.216670000000001</v>
      </c>
      <c r="E14" s="468">
        <v>2.5299999999999998</v>
      </c>
      <c r="F14" s="472">
        <f t="shared" si="0"/>
        <v>1.5234817509999998</v>
      </c>
      <c r="G14" s="473">
        <f t="shared" si="1"/>
        <v>100.34380999999999</v>
      </c>
      <c r="I14" s="608" t="s">
        <v>291</v>
      </c>
      <c r="J14" s="346">
        <v>6731.116</v>
      </c>
      <c r="K14" s="346">
        <v>13663.496999999999</v>
      </c>
      <c r="L14" s="468">
        <v>5.29</v>
      </c>
      <c r="M14" s="472">
        <f t="shared" si="2"/>
        <v>722.7989912999999</v>
      </c>
      <c r="N14" s="473">
        <f t="shared" si="3"/>
        <v>20394.612999999998</v>
      </c>
      <c r="P14" s="608" t="s">
        <v>291</v>
      </c>
      <c r="Q14" s="346">
        <v>60699.254999999997</v>
      </c>
      <c r="R14" s="346">
        <v>75969.606</v>
      </c>
      <c r="S14" s="468">
        <v>5.68</v>
      </c>
      <c r="T14" s="472">
        <f t="shared" si="4"/>
        <v>4315.0736207999998</v>
      </c>
      <c r="U14" s="473">
        <f t="shared" si="5"/>
        <v>136668.861</v>
      </c>
    </row>
    <row r="15" spans="2:21" x14ac:dyDescent="0.2">
      <c r="B15" s="609" t="s">
        <v>292</v>
      </c>
      <c r="C15" s="346">
        <v>21.131790000000002</v>
      </c>
      <c r="D15" s="346">
        <v>93.152839999999998</v>
      </c>
      <c r="E15" s="468">
        <v>1.5</v>
      </c>
      <c r="F15" s="472">
        <f t="shared" si="0"/>
        <v>1.3972926000000001</v>
      </c>
      <c r="G15" s="473">
        <f t="shared" si="1"/>
        <v>114.28462999999999</v>
      </c>
      <c r="I15" s="609" t="s">
        <v>292</v>
      </c>
      <c r="J15" s="346">
        <v>5741.1769999999997</v>
      </c>
      <c r="K15" s="346">
        <v>23020.916000000001</v>
      </c>
      <c r="L15" s="468">
        <v>3.18</v>
      </c>
      <c r="M15" s="472">
        <f t="shared" si="2"/>
        <v>732.06512880000014</v>
      </c>
      <c r="N15" s="473">
        <f t="shared" si="3"/>
        <v>28762.093000000001</v>
      </c>
      <c r="P15" s="609" t="s">
        <v>292</v>
      </c>
      <c r="Q15" s="346">
        <v>18891.375</v>
      </c>
      <c r="R15" s="346">
        <v>108672.41800000001</v>
      </c>
      <c r="S15" s="468">
        <v>3.26</v>
      </c>
      <c r="T15" s="472">
        <f t="shared" si="4"/>
        <v>3542.7208267999999</v>
      </c>
      <c r="U15" s="473">
        <f t="shared" si="5"/>
        <v>127563.79300000001</v>
      </c>
    </row>
    <row r="16" spans="2:21" x14ac:dyDescent="0.2">
      <c r="B16" s="608" t="s">
        <v>293</v>
      </c>
      <c r="C16" s="346">
        <v>2.5629</v>
      </c>
      <c r="D16" s="346">
        <v>86.046720000000008</v>
      </c>
      <c r="E16" s="468">
        <v>0.94</v>
      </c>
      <c r="F16" s="472">
        <f t="shared" si="0"/>
        <v>0.80883916800000011</v>
      </c>
      <c r="G16" s="473">
        <f t="shared" si="1"/>
        <v>88.609620000000007</v>
      </c>
      <c r="I16" s="608" t="s">
        <v>293</v>
      </c>
      <c r="J16" s="346">
        <v>493.28500000000003</v>
      </c>
      <c r="K16" s="346">
        <v>21561.99</v>
      </c>
      <c r="L16" s="468">
        <v>3.33</v>
      </c>
      <c r="M16" s="472">
        <f t="shared" si="2"/>
        <v>718.01426700000013</v>
      </c>
      <c r="N16" s="473">
        <f t="shared" si="3"/>
        <v>22055.275000000001</v>
      </c>
      <c r="P16" s="608" t="s">
        <v>293</v>
      </c>
      <c r="Q16" s="346">
        <v>2485.41</v>
      </c>
      <c r="R16" s="346">
        <v>91781.61</v>
      </c>
      <c r="S16" s="468">
        <v>3.58</v>
      </c>
      <c r="T16" s="472">
        <f t="shared" si="4"/>
        <v>3285.7816379999999</v>
      </c>
      <c r="U16" s="473">
        <f t="shared" si="5"/>
        <v>94267.02</v>
      </c>
    </row>
    <row r="17" spans="2:21" x14ac:dyDescent="0.2">
      <c r="B17" s="609" t="s">
        <v>294</v>
      </c>
      <c r="C17" s="346">
        <v>10.756680000000001</v>
      </c>
      <c r="D17" s="346">
        <v>90.090509999999995</v>
      </c>
      <c r="E17" s="468">
        <v>1.65</v>
      </c>
      <c r="F17" s="472">
        <f t="shared" si="0"/>
        <v>1.486493415</v>
      </c>
      <c r="G17" s="473">
        <f t="shared" si="1"/>
        <v>100.84719</v>
      </c>
      <c r="I17" s="609" t="s">
        <v>294</v>
      </c>
      <c r="J17" s="346">
        <v>2199.4859999999999</v>
      </c>
      <c r="K17" s="346">
        <v>23342.064999999999</v>
      </c>
      <c r="L17" s="468">
        <v>4.28</v>
      </c>
      <c r="M17" s="472">
        <f t="shared" si="2"/>
        <v>999.04038199999991</v>
      </c>
      <c r="N17" s="473">
        <f t="shared" si="3"/>
        <v>25541.550999999999</v>
      </c>
      <c r="P17" s="609" t="s">
        <v>294</v>
      </c>
      <c r="Q17" s="346">
        <v>8917.5840000000007</v>
      </c>
      <c r="R17" s="346">
        <v>96314.125</v>
      </c>
      <c r="S17" s="468">
        <v>3.66</v>
      </c>
      <c r="T17" s="472">
        <f t="shared" si="4"/>
        <v>3525.0969749999999</v>
      </c>
      <c r="U17" s="473">
        <f t="shared" si="5"/>
        <v>105231.709</v>
      </c>
    </row>
    <row r="18" spans="2:21" x14ac:dyDescent="0.2">
      <c r="B18" s="608" t="s">
        <v>295</v>
      </c>
      <c r="C18" s="346">
        <v>19.459019999999999</v>
      </c>
      <c r="D18" s="346">
        <v>111.30824000000001</v>
      </c>
      <c r="E18" s="468">
        <v>1.38</v>
      </c>
      <c r="F18" s="472">
        <f t="shared" si="0"/>
        <v>1.5360537120000002</v>
      </c>
      <c r="G18" s="473">
        <f t="shared" si="1"/>
        <v>130.76726000000002</v>
      </c>
      <c r="I18" s="608" t="s">
        <v>295</v>
      </c>
      <c r="J18" s="346">
        <v>4162.5219999999999</v>
      </c>
      <c r="K18" s="346">
        <v>30266.026000000002</v>
      </c>
      <c r="L18" s="468">
        <v>4.7</v>
      </c>
      <c r="M18" s="472">
        <f t="shared" si="2"/>
        <v>1422.5032220000003</v>
      </c>
      <c r="N18" s="473">
        <f t="shared" si="3"/>
        <v>34428.548000000003</v>
      </c>
      <c r="P18" s="608" t="s">
        <v>295</v>
      </c>
      <c r="Q18" s="346">
        <v>17600.126</v>
      </c>
      <c r="R18" s="346">
        <v>122038.25900000001</v>
      </c>
      <c r="S18" s="468">
        <v>3.61</v>
      </c>
      <c r="T18" s="472">
        <f t="shared" si="4"/>
        <v>4405.5811499000001</v>
      </c>
      <c r="U18" s="473">
        <f t="shared" si="5"/>
        <v>139638.38500000001</v>
      </c>
    </row>
    <row r="19" spans="2:21" ht="13.5" thickBot="1" x14ac:dyDescent="0.25">
      <c r="B19" s="604" t="s">
        <v>296</v>
      </c>
      <c r="C19" s="352">
        <v>16.078620000000001</v>
      </c>
      <c r="D19" s="352">
        <v>84.771550000000005</v>
      </c>
      <c r="E19" s="469">
        <v>1.6</v>
      </c>
      <c r="F19" s="474">
        <f t="shared" si="0"/>
        <v>1.3563448000000002</v>
      </c>
      <c r="G19" s="475">
        <f t="shared" si="1"/>
        <v>100.85017000000001</v>
      </c>
      <c r="I19" s="604" t="s">
        <v>296</v>
      </c>
      <c r="J19" s="352">
        <v>2737.3220000000001</v>
      </c>
      <c r="K19" s="352">
        <v>17224.383999999998</v>
      </c>
      <c r="L19" s="469">
        <v>3.48</v>
      </c>
      <c r="M19" s="474">
        <f t="shared" si="2"/>
        <v>599.40856319999989</v>
      </c>
      <c r="N19" s="475">
        <f t="shared" si="3"/>
        <v>19961.705999999998</v>
      </c>
      <c r="P19" s="604" t="s">
        <v>296</v>
      </c>
      <c r="Q19" s="352">
        <v>15997.425999999999</v>
      </c>
      <c r="R19" s="352">
        <v>94047.62</v>
      </c>
      <c r="S19" s="469">
        <v>3.28</v>
      </c>
      <c r="T19" s="474">
        <f t="shared" si="4"/>
        <v>3084.7619359999994</v>
      </c>
      <c r="U19" s="475">
        <f t="shared" si="5"/>
        <v>110045.046</v>
      </c>
    </row>
    <row r="22" spans="2:21" ht="38.25" customHeight="1" x14ac:dyDescent="0.2">
      <c r="B22" s="1024" t="s">
        <v>734</v>
      </c>
      <c r="C22" s="1025"/>
      <c r="D22" s="1025"/>
      <c r="E22" s="1025"/>
      <c r="F22" s="1025"/>
      <c r="G22" s="1025"/>
      <c r="I22" s="1024" t="s">
        <v>733</v>
      </c>
      <c r="J22" s="1025"/>
      <c r="K22" s="1025"/>
      <c r="L22" s="1025"/>
      <c r="M22" s="1025"/>
      <c r="N22" s="1025"/>
      <c r="P22" s="1024" t="s">
        <v>732</v>
      </c>
      <c r="Q22" s="1025"/>
      <c r="R22" s="1025"/>
      <c r="S22" s="1025"/>
      <c r="T22" s="1025"/>
      <c r="U22" s="1025"/>
    </row>
    <row r="23" spans="2:21" ht="13.5" thickBot="1" x14ac:dyDescent="0.25">
      <c r="B23" s="614"/>
      <c r="C23" s="614" t="s">
        <v>78</v>
      </c>
      <c r="D23" s="614" t="s">
        <v>309</v>
      </c>
      <c r="E23" s="619" t="s">
        <v>82</v>
      </c>
      <c r="F23" s="614" t="s">
        <v>310</v>
      </c>
      <c r="G23" s="614" t="s">
        <v>486</v>
      </c>
      <c r="I23" s="614"/>
      <c r="J23" s="614" t="s">
        <v>78</v>
      </c>
      <c r="K23" s="614" t="s">
        <v>309</v>
      </c>
      <c r="L23" s="619" t="s">
        <v>82</v>
      </c>
      <c r="M23" s="614" t="s">
        <v>310</v>
      </c>
      <c r="N23" s="614" t="s">
        <v>486</v>
      </c>
      <c r="P23" s="614"/>
      <c r="Q23" s="614" t="s">
        <v>78</v>
      </c>
      <c r="R23" s="614" t="s">
        <v>309</v>
      </c>
      <c r="S23" s="619" t="s">
        <v>82</v>
      </c>
      <c r="T23" s="614" t="s">
        <v>310</v>
      </c>
      <c r="U23" s="614" t="s">
        <v>486</v>
      </c>
    </row>
    <row r="24" spans="2:21" x14ac:dyDescent="0.2">
      <c r="B24" s="612" t="s">
        <v>721</v>
      </c>
      <c r="C24" s="618">
        <v>127.51262</v>
      </c>
      <c r="D24" s="618">
        <v>177.55427</v>
      </c>
      <c r="E24" s="617">
        <v>1.838364322627509</v>
      </c>
      <c r="F24" s="616">
        <f t="shared" ref="F24:F38" si="6">D24*E24/100</f>
        <v>3.2640943529817186</v>
      </c>
      <c r="G24" s="615">
        <f t="shared" ref="G24:G38" si="7">C24+D24</f>
        <v>305.06689</v>
      </c>
      <c r="I24" s="612" t="s">
        <v>721</v>
      </c>
      <c r="J24" s="618">
        <v>26375.967000000001</v>
      </c>
      <c r="K24" s="618">
        <v>63619.548999999999</v>
      </c>
      <c r="L24" s="617">
        <v>2.44942320338764</v>
      </c>
      <c r="M24" s="616">
        <f t="shared" ref="M24:M38" si="8">K24*L24/100</f>
        <v>1558.3119950965693</v>
      </c>
      <c r="N24" s="615">
        <f t="shared" ref="N24:N38" si="9">J24+K24</f>
        <v>89995.516000000003</v>
      </c>
      <c r="P24" s="612" t="s">
        <v>721</v>
      </c>
      <c r="Q24" s="618">
        <v>149700.77499999999</v>
      </c>
      <c r="R24" s="618">
        <v>155504.29199999999</v>
      </c>
      <c r="S24" s="617">
        <v>2.9411401766810834</v>
      </c>
      <c r="T24" s="616">
        <f t="shared" ref="T24:T38" si="10">R24*S24/100</f>
        <v>4573.599208475468</v>
      </c>
      <c r="U24" s="615">
        <f t="shared" ref="U24:U38" si="11">Q24+R24</f>
        <v>305205.06699999998</v>
      </c>
    </row>
    <row r="25" spans="2:21" x14ac:dyDescent="0.2">
      <c r="B25" s="608" t="s">
        <v>286</v>
      </c>
      <c r="C25" s="346">
        <v>13.633100000000001</v>
      </c>
      <c r="D25" s="346">
        <v>17.642330000000001</v>
      </c>
      <c r="E25" s="468">
        <v>5.7</v>
      </c>
      <c r="F25" s="472">
        <f t="shared" si="6"/>
        <v>1.0056128100000001</v>
      </c>
      <c r="G25" s="473">
        <f t="shared" si="7"/>
        <v>31.27543</v>
      </c>
      <c r="I25" s="608" t="s">
        <v>286</v>
      </c>
      <c r="J25" s="346">
        <v>2712.08</v>
      </c>
      <c r="K25" s="346">
        <v>6126.6009999999997</v>
      </c>
      <c r="L25" s="468">
        <v>7.2</v>
      </c>
      <c r="M25" s="472">
        <f t="shared" si="8"/>
        <v>441.11527199999995</v>
      </c>
      <c r="N25" s="473">
        <f t="shared" si="9"/>
        <v>8838.6810000000005</v>
      </c>
      <c r="P25" s="608" t="s">
        <v>286</v>
      </c>
      <c r="Q25" s="346">
        <v>21655.496999999999</v>
      </c>
      <c r="R25" s="346">
        <v>17479.114000000001</v>
      </c>
      <c r="S25" s="468">
        <v>9.16</v>
      </c>
      <c r="T25" s="472">
        <f t="shared" si="10"/>
        <v>1601.0868424</v>
      </c>
      <c r="U25" s="473">
        <f t="shared" si="11"/>
        <v>39134.611000000004</v>
      </c>
    </row>
    <row r="26" spans="2:21" x14ac:dyDescent="0.2">
      <c r="B26" s="609" t="s">
        <v>307</v>
      </c>
      <c r="C26" s="346">
        <v>8.0540900000000004</v>
      </c>
      <c r="D26" s="346">
        <v>16.745930000000001</v>
      </c>
      <c r="E26" s="468">
        <v>5.48</v>
      </c>
      <c r="F26" s="472">
        <f t="shared" si="6"/>
        <v>0.91767696400000021</v>
      </c>
      <c r="G26" s="473">
        <f t="shared" si="7"/>
        <v>24.800020000000004</v>
      </c>
      <c r="I26" s="609" t="s">
        <v>307</v>
      </c>
      <c r="J26" s="346">
        <v>1821.8979999999999</v>
      </c>
      <c r="K26" s="346">
        <v>6429.5550000000003</v>
      </c>
      <c r="L26" s="468">
        <v>7.14</v>
      </c>
      <c r="M26" s="472">
        <f t="shared" si="8"/>
        <v>459.07022699999999</v>
      </c>
      <c r="N26" s="473">
        <f t="shared" si="9"/>
        <v>8251.4529999999995</v>
      </c>
      <c r="P26" s="609" t="s">
        <v>307</v>
      </c>
      <c r="Q26" s="346">
        <v>7957.8720000000003</v>
      </c>
      <c r="R26" s="346">
        <v>15157.57</v>
      </c>
      <c r="S26" s="468">
        <v>9.6199999999999992</v>
      </c>
      <c r="T26" s="472">
        <f t="shared" si="10"/>
        <v>1458.158234</v>
      </c>
      <c r="U26" s="473">
        <f t="shared" si="11"/>
        <v>23115.441999999999</v>
      </c>
    </row>
    <row r="27" spans="2:21" x14ac:dyDescent="0.2">
      <c r="B27" s="608" t="s">
        <v>287</v>
      </c>
      <c r="C27" s="346">
        <v>17.605900000000002</v>
      </c>
      <c r="D27" s="346">
        <v>15.72425</v>
      </c>
      <c r="E27" s="468">
        <v>7.12</v>
      </c>
      <c r="F27" s="472">
        <f t="shared" si="6"/>
        <v>1.1195666</v>
      </c>
      <c r="G27" s="473">
        <f t="shared" si="7"/>
        <v>33.330150000000003</v>
      </c>
      <c r="I27" s="608" t="s">
        <v>287</v>
      </c>
      <c r="J27" s="346">
        <v>3382.819</v>
      </c>
      <c r="K27" s="346">
        <v>4079.4380000000001</v>
      </c>
      <c r="L27" s="468">
        <v>7.87</v>
      </c>
      <c r="M27" s="472">
        <f t="shared" si="8"/>
        <v>321.0517706</v>
      </c>
      <c r="N27" s="473">
        <f t="shared" si="9"/>
        <v>7462.2569999999996</v>
      </c>
      <c r="P27" s="608" t="s">
        <v>287</v>
      </c>
      <c r="Q27" s="346">
        <v>18879.43</v>
      </c>
      <c r="R27" s="346">
        <v>10462.906999999999</v>
      </c>
      <c r="S27" s="468">
        <v>9.36</v>
      </c>
      <c r="T27" s="472">
        <f t="shared" si="10"/>
        <v>979.32809519999978</v>
      </c>
      <c r="U27" s="473">
        <f t="shared" si="11"/>
        <v>29342.337</v>
      </c>
    </row>
    <row r="28" spans="2:21" x14ac:dyDescent="0.2">
      <c r="B28" s="609" t="s">
        <v>288</v>
      </c>
      <c r="C28" s="346">
        <v>4.7160200000000003</v>
      </c>
      <c r="D28" s="346">
        <v>7.3907499999999997</v>
      </c>
      <c r="E28" s="468">
        <v>10.36</v>
      </c>
      <c r="F28" s="472">
        <f t="shared" si="6"/>
        <v>0.76568169999999991</v>
      </c>
      <c r="G28" s="473">
        <f t="shared" si="7"/>
        <v>12.106770000000001</v>
      </c>
      <c r="I28" s="609" t="s">
        <v>288</v>
      </c>
      <c r="J28" s="346">
        <v>1088.232</v>
      </c>
      <c r="K28" s="346">
        <v>2411.3879999999999</v>
      </c>
      <c r="L28" s="468">
        <v>12.68</v>
      </c>
      <c r="M28" s="472">
        <f t="shared" si="8"/>
        <v>305.76399839999999</v>
      </c>
      <c r="N28" s="473">
        <f t="shared" si="9"/>
        <v>3499.62</v>
      </c>
      <c r="P28" s="609" t="s">
        <v>288</v>
      </c>
      <c r="Q28" s="346">
        <v>3794.451</v>
      </c>
      <c r="R28" s="346">
        <v>5483.6</v>
      </c>
      <c r="S28" s="468">
        <v>14.87</v>
      </c>
      <c r="T28" s="472">
        <f t="shared" si="10"/>
        <v>815.41131999999993</v>
      </c>
      <c r="U28" s="473">
        <f t="shared" si="11"/>
        <v>9278.0509999999995</v>
      </c>
    </row>
    <row r="29" spans="2:21" x14ac:dyDescent="0.2">
      <c r="B29" s="608" t="s">
        <v>305</v>
      </c>
      <c r="C29" s="346">
        <v>0.58132000000000006</v>
      </c>
      <c r="D29" s="346">
        <v>2.0668699999999998</v>
      </c>
      <c r="E29" s="468">
        <v>19.760000000000002</v>
      </c>
      <c r="F29" s="472">
        <f t="shared" si="6"/>
        <v>0.40841351199999998</v>
      </c>
      <c r="G29" s="473">
        <f t="shared" si="7"/>
        <v>2.6481899999999996</v>
      </c>
      <c r="I29" s="608" t="s">
        <v>305</v>
      </c>
      <c r="J29" s="346">
        <v>128.36199999999999</v>
      </c>
      <c r="K29" s="346">
        <v>600.87199999999996</v>
      </c>
      <c r="L29" s="468">
        <v>18.899999999999999</v>
      </c>
      <c r="M29" s="472">
        <f t="shared" si="8"/>
        <v>113.56480799999997</v>
      </c>
      <c r="N29" s="473">
        <f t="shared" si="9"/>
        <v>729.23399999999992</v>
      </c>
      <c r="P29" s="608" t="s">
        <v>305</v>
      </c>
      <c r="Q29" s="346">
        <v>509.09300000000002</v>
      </c>
      <c r="R29" s="346">
        <v>1634.7049999999999</v>
      </c>
      <c r="S29" s="468">
        <v>28.62</v>
      </c>
      <c r="T29" s="472">
        <f t="shared" si="10"/>
        <v>467.85257100000001</v>
      </c>
      <c r="U29" s="473">
        <f t="shared" si="11"/>
        <v>2143.7979999999998</v>
      </c>
    </row>
    <row r="30" spans="2:21" x14ac:dyDescent="0.2">
      <c r="B30" s="609" t="s">
        <v>289</v>
      </c>
      <c r="C30" s="346">
        <v>0.22287000000000001</v>
      </c>
      <c r="D30" s="346">
        <v>2.8965300000000003</v>
      </c>
      <c r="E30" s="468">
        <v>17.07</v>
      </c>
      <c r="F30" s="472">
        <f t="shared" si="6"/>
        <v>0.49443767100000002</v>
      </c>
      <c r="G30" s="473">
        <f t="shared" si="7"/>
        <v>3.1194000000000002</v>
      </c>
      <c r="I30" s="609" t="s">
        <v>289</v>
      </c>
      <c r="J30" s="346">
        <v>50.957999999999998</v>
      </c>
      <c r="K30" s="346">
        <v>924.99400000000003</v>
      </c>
      <c r="L30" s="468">
        <v>17.899999999999999</v>
      </c>
      <c r="M30" s="472">
        <f t="shared" si="8"/>
        <v>165.573926</v>
      </c>
      <c r="N30" s="473">
        <f t="shared" si="9"/>
        <v>975.952</v>
      </c>
      <c r="P30" s="609" t="s">
        <v>289</v>
      </c>
      <c r="Q30" s="346">
        <v>152.40199999999999</v>
      </c>
      <c r="R30" s="346">
        <v>2050.7620000000002</v>
      </c>
      <c r="S30" s="468">
        <v>20.78</v>
      </c>
      <c r="T30" s="472">
        <f t="shared" si="10"/>
        <v>426.14834360000009</v>
      </c>
      <c r="U30" s="473">
        <f t="shared" si="11"/>
        <v>2203.1640000000002</v>
      </c>
    </row>
    <row r="31" spans="2:21" x14ac:dyDescent="0.2">
      <c r="B31" s="608" t="s">
        <v>306</v>
      </c>
      <c r="C31" s="346">
        <v>2.5344600000000002</v>
      </c>
      <c r="D31" s="346">
        <v>7.7100400000000002</v>
      </c>
      <c r="E31" s="468">
        <v>8.5500000000000007</v>
      </c>
      <c r="F31" s="472">
        <f t="shared" si="6"/>
        <v>0.65920842000000013</v>
      </c>
      <c r="G31" s="473">
        <f t="shared" si="7"/>
        <v>10.2445</v>
      </c>
      <c r="I31" s="608" t="s">
        <v>306</v>
      </c>
      <c r="J31" s="346">
        <v>536.35400000000004</v>
      </c>
      <c r="K31" s="346">
        <v>2822.6860000000001</v>
      </c>
      <c r="L31" s="468">
        <v>10.39</v>
      </c>
      <c r="M31" s="472">
        <f t="shared" si="8"/>
        <v>293.27707540000006</v>
      </c>
      <c r="N31" s="473">
        <f t="shared" si="9"/>
        <v>3359.04</v>
      </c>
      <c r="P31" s="608" t="s">
        <v>306</v>
      </c>
      <c r="Q31" s="346">
        <v>2597.6170000000002</v>
      </c>
      <c r="R31" s="346">
        <v>6826.3419999999996</v>
      </c>
      <c r="S31" s="468">
        <v>10.94</v>
      </c>
      <c r="T31" s="472">
        <f t="shared" si="10"/>
        <v>746.80181479999999</v>
      </c>
      <c r="U31" s="473">
        <f t="shared" si="11"/>
        <v>9423.9589999999989</v>
      </c>
    </row>
    <row r="32" spans="2:21" x14ac:dyDescent="0.2">
      <c r="B32" s="609" t="s">
        <v>290</v>
      </c>
      <c r="C32" s="346">
        <v>3.00421</v>
      </c>
      <c r="D32" s="346">
        <v>5.1026300000000004</v>
      </c>
      <c r="E32" s="468">
        <v>12.79</v>
      </c>
      <c r="F32" s="472">
        <f t="shared" si="6"/>
        <v>0.65262637700000004</v>
      </c>
      <c r="G32" s="473">
        <f t="shared" si="7"/>
        <v>8.10684</v>
      </c>
      <c r="I32" s="609" t="s">
        <v>290</v>
      </c>
      <c r="J32" s="346">
        <v>701.005</v>
      </c>
      <c r="K32" s="346">
        <v>1162.385</v>
      </c>
      <c r="L32" s="468">
        <v>12.31</v>
      </c>
      <c r="M32" s="472">
        <f t="shared" si="8"/>
        <v>143.08959350000001</v>
      </c>
      <c r="N32" s="473">
        <f t="shared" si="9"/>
        <v>1863.3899999999999</v>
      </c>
      <c r="P32" s="609" t="s">
        <v>290</v>
      </c>
      <c r="Q32" s="346">
        <v>2461.973</v>
      </c>
      <c r="R32" s="346">
        <v>4037.9679999999998</v>
      </c>
      <c r="S32" s="468">
        <v>18.18</v>
      </c>
      <c r="T32" s="472">
        <f t="shared" si="10"/>
        <v>734.10258239999996</v>
      </c>
      <c r="U32" s="473">
        <f t="shared" si="11"/>
        <v>6499.9409999999998</v>
      </c>
    </row>
    <row r="33" spans="2:21" x14ac:dyDescent="0.2">
      <c r="B33" s="608" t="s">
        <v>291</v>
      </c>
      <c r="C33" s="346">
        <v>37.577539999999999</v>
      </c>
      <c r="D33" s="346">
        <v>23.771470000000001</v>
      </c>
      <c r="E33" s="468">
        <v>5.88</v>
      </c>
      <c r="F33" s="472">
        <f t="shared" si="6"/>
        <v>1.3977624360000001</v>
      </c>
      <c r="G33" s="473">
        <f t="shared" si="7"/>
        <v>61.34901</v>
      </c>
      <c r="I33" s="608" t="s">
        <v>291</v>
      </c>
      <c r="J33" s="346">
        <v>6610.5060000000003</v>
      </c>
      <c r="K33" s="346">
        <v>8211.4609999999993</v>
      </c>
      <c r="L33" s="468">
        <v>7.64</v>
      </c>
      <c r="M33" s="472">
        <f t="shared" si="8"/>
        <v>627.35562039999991</v>
      </c>
      <c r="N33" s="473">
        <f t="shared" si="9"/>
        <v>14821.967000000001</v>
      </c>
      <c r="P33" s="608" t="s">
        <v>291</v>
      </c>
      <c r="Q33" s="346">
        <v>58021.981</v>
      </c>
      <c r="R33" s="346">
        <v>28155.359</v>
      </c>
      <c r="S33" s="468">
        <v>9.49</v>
      </c>
      <c r="T33" s="472">
        <f t="shared" si="10"/>
        <v>2671.9435691000003</v>
      </c>
      <c r="U33" s="473">
        <f t="shared" si="11"/>
        <v>86177.34</v>
      </c>
    </row>
    <row r="34" spans="2:21" x14ac:dyDescent="0.2">
      <c r="B34" s="609" t="s">
        <v>292</v>
      </c>
      <c r="C34" s="346">
        <v>7.6618399999999998</v>
      </c>
      <c r="D34" s="346">
        <v>13.135069999999999</v>
      </c>
      <c r="E34" s="468">
        <v>5.31</v>
      </c>
      <c r="F34" s="472">
        <f t="shared" si="6"/>
        <v>0.69747221699999984</v>
      </c>
      <c r="G34" s="473">
        <f t="shared" si="7"/>
        <v>20.796909999999997</v>
      </c>
      <c r="I34" s="609" t="s">
        <v>292</v>
      </c>
      <c r="J34" s="346">
        <v>2183.2530000000002</v>
      </c>
      <c r="K34" s="346">
        <v>4713.0029999999997</v>
      </c>
      <c r="L34" s="468">
        <v>6.44</v>
      </c>
      <c r="M34" s="472">
        <f t="shared" si="8"/>
        <v>303.51739320000001</v>
      </c>
      <c r="N34" s="473">
        <f t="shared" si="9"/>
        <v>6896.2559999999994</v>
      </c>
      <c r="P34" s="609" t="s">
        <v>292</v>
      </c>
      <c r="Q34" s="346">
        <v>6295.808</v>
      </c>
      <c r="R34" s="346">
        <v>11965.755999999999</v>
      </c>
      <c r="S34" s="468">
        <v>9.36</v>
      </c>
      <c r="T34" s="472">
        <f t="shared" si="10"/>
        <v>1119.9947615999999</v>
      </c>
      <c r="U34" s="473">
        <f t="shared" si="11"/>
        <v>18261.563999999998</v>
      </c>
    </row>
    <row r="35" spans="2:21" x14ac:dyDescent="0.2">
      <c r="B35" s="608" t="s">
        <v>293</v>
      </c>
      <c r="C35" s="346">
        <v>1.1405399999999999</v>
      </c>
      <c r="D35" s="346">
        <v>14.0055</v>
      </c>
      <c r="E35" s="468">
        <v>5.93</v>
      </c>
      <c r="F35" s="472">
        <f t="shared" si="6"/>
        <v>0.83052614999999985</v>
      </c>
      <c r="G35" s="473">
        <f t="shared" si="7"/>
        <v>15.146039999999999</v>
      </c>
      <c r="I35" s="608" t="s">
        <v>293</v>
      </c>
      <c r="J35" s="346">
        <v>273.46699999999998</v>
      </c>
      <c r="K35" s="346">
        <v>5134.9880000000003</v>
      </c>
      <c r="L35" s="468">
        <v>7</v>
      </c>
      <c r="M35" s="472">
        <f t="shared" si="8"/>
        <v>359.44916000000006</v>
      </c>
      <c r="N35" s="473">
        <f t="shared" si="9"/>
        <v>5408.4549999999999</v>
      </c>
      <c r="P35" s="608" t="s">
        <v>293</v>
      </c>
      <c r="Q35" s="346">
        <v>825.09900000000005</v>
      </c>
      <c r="R35" s="346">
        <v>10385.531999999999</v>
      </c>
      <c r="S35" s="468">
        <v>10.029999999999999</v>
      </c>
      <c r="T35" s="472">
        <f t="shared" si="10"/>
        <v>1041.6688595999999</v>
      </c>
      <c r="U35" s="473">
        <f t="shared" si="11"/>
        <v>11210.630999999999</v>
      </c>
    </row>
    <row r="36" spans="2:21" x14ac:dyDescent="0.2">
      <c r="B36" s="609" t="s">
        <v>294</v>
      </c>
      <c r="C36" s="346">
        <v>6.0478100000000001</v>
      </c>
      <c r="D36" s="346">
        <v>14.57615</v>
      </c>
      <c r="E36" s="468">
        <v>5.34</v>
      </c>
      <c r="F36" s="472">
        <f t="shared" si="6"/>
        <v>0.77836640999999995</v>
      </c>
      <c r="G36" s="473">
        <f t="shared" si="7"/>
        <v>20.62396</v>
      </c>
      <c r="I36" s="609" t="s">
        <v>294</v>
      </c>
      <c r="J36" s="346">
        <v>1422.7909999999999</v>
      </c>
      <c r="K36" s="346">
        <v>6317.1670000000004</v>
      </c>
      <c r="L36" s="468">
        <v>8.24</v>
      </c>
      <c r="M36" s="472">
        <f t="shared" si="8"/>
        <v>520.53456080000001</v>
      </c>
      <c r="N36" s="473">
        <f t="shared" si="9"/>
        <v>7739.9580000000005</v>
      </c>
      <c r="P36" s="609" t="s">
        <v>294</v>
      </c>
      <c r="Q36" s="346">
        <v>4918.6819999999998</v>
      </c>
      <c r="R36" s="346">
        <v>10318.472</v>
      </c>
      <c r="S36" s="468">
        <v>8.02</v>
      </c>
      <c r="T36" s="472">
        <f t="shared" si="10"/>
        <v>827.54145439999991</v>
      </c>
      <c r="U36" s="473">
        <f t="shared" si="11"/>
        <v>15237.153999999999</v>
      </c>
    </row>
    <row r="37" spans="2:21" x14ac:dyDescent="0.2">
      <c r="B37" s="608" t="s">
        <v>295</v>
      </c>
      <c r="C37" s="346">
        <v>11.581440000000001</v>
      </c>
      <c r="D37" s="346">
        <v>18.497499999999999</v>
      </c>
      <c r="E37" s="468">
        <v>6.24</v>
      </c>
      <c r="F37" s="472">
        <f t="shared" si="6"/>
        <v>1.1542439999999998</v>
      </c>
      <c r="G37" s="473">
        <f t="shared" si="7"/>
        <v>30.078939999999999</v>
      </c>
      <c r="I37" s="608" t="s">
        <v>295</v>
      </c>
      <c r="J37" s="346">
        <v>3057.8180000000002</v>
      </c>
      <c r="K37" s="346">
        <v>8707.0329999999994</v>
      </c>
      <c r="L37" s="468">
        <v>9.33</v>
      </c>
      <c r="M37" s="472">
        <f t="shared" si="8"/>
        <v>812.36617889999991</v>
      </c>
      <c r="N37" s="473">
        <f t="shared" si="9"/>
        <v>11764.850999999999</v>
      </c>
      <c r="P37" s="608" t="s">
        <v>295</v>
      </c>
      <c r="Q37" s="346">
        <v>8521.9660000000003</v>
      </c>
      <c r="R37" s="346">
        <v>13060.883</v>
      </c>
      <c r="S37" s="468">
        <v>9.09</v>
      </c>
      <c r="T37" s="472">
        <f t="shared" si="10"/>
        <v>1187.2342646999998</v>
      </c>
      <c r="U37" s="473">
        <f t="shared" si="11"/>
        <v>21582.849000000002</v>
      </c>
    </row>
    <row r="38" spans="2:21" ht="13.5" thickBot="1" x14ac:dyDescent="0.25">
      <c r="B38" s="604" t="s">
        <v>296</v>
      </c>
      <c r="C38" s="352">
        <v>13.151479999999999</v>
      </c>
      <c r="D38" s="352">
        <v>18.289249999999999</v>
      </c>
      <c r="E38" s="469">
        <v>4.3099999999999996</v>
      </c>
      <c r="F38" s="474">
        <f t="shared" si="6"/>
        <v>0.78826667499999981</v>
      </c>
      <c r="G38" s="475">
        <f t="shared" si="7"/>
        <v>31.440729999999999</v>
      </c>
      <c r="I38" s="604" t="s">
        <v>296</v>
      </c>
      <c r="J38" s="352">
        <v>2406.424</v>
      </c>
      <c r="K38" s="352">
        <v>5977.9780000000001</v>
      </c>
      <c r="L38" s="469">
        <v>6.12</v>
      </c>
      <c r="M38" s="474">
        <f t="shared" si="8"/>
        <v>365.85225360000004</v>
      </c>
      <c r="N38" s="475">
        <f t="shared" si="9"/>
        <v>8384.402</v>
      </c>
      <c r="P38" s="604" t="s">
        <v>296</v>
      </c>
      <c r="Q38" s="352">
        <v>13108.904</v>
      </c>
      <c r="R38" s="352">
        <v>18485.322</v>
      </c>
      <c r="S38" s="469">
        <v>6.7</v>
      </c>
      <c r="T38" s="474">
        <f t="shared" si="10"/>
        <v>1238.5165740000002</v>
      </c>
      <c r="U38" s="475">
        <f t="shared" si="11"/>
        <v>31594.226000000002</v>
      </c>
    </row>
    <row r="41" spans="2:21" ht="38.25" customHeight="1" x14ac:dyDescent="0.2">
      <c r="B41" s="1024" t="s">
        <v>731</v>
      </c>
      <c r="C41" s="1025"/>
      <c r="D41" s="1025"/>
      <c r="E41" s="1025"/>
      <c r="F41" s="1025"/>
      <c r="G41" s="1025"/>
      <c r="I41" s="1024" t="s">
        <v>730</v>
      </c>
      <c r="J41" s="1025"/>
      <c r="K41" s="1025"/>
      <c r="L41" s="1025"/>
      <c r="M41" s="1025"/>
      <c r="N41" s="1025"/>
      <c r="P41" s="1024" t="s">
        <v>729</v>
      </c>
      <c r="Q41" s="1025"/>
      <c r="R41" s="1025"/>
      <c r="S41" s="1025"/>
      <c r="T41" s="1025"/>
      <c r="U41" s="1025"/>
    </row>
    <row r="42" spans="2:21" ht="13.5" thickBot="1" x14ac:dyDescent="0.25">
      <c r="B42" s="614"/>
      <c r="C42" s="614" t="s">
        <v>78</v>
      </c>
      <c r="D42" s="614" t="s">
        <v>309</v>
      </c>
      <c r="E42" s="619" t="s">
        <v>82</v>
      </c>
      <c r="F42" s="614" t="s">
        <v>310</v>
      </c>
      <c r="G42" s="614" t="s">
        <v>486</v>
      </c>
      <c r="I42" s="614"/>
      <c r="J42" s="614" t="s">
        <v>78</v>
      </c>
      <c r="K42" s="614" t="s">
        <v>309</v>
      </c>
      <c r="L42" s="619" t="s">
        <v>82</v>
      </c>
      <c r="M42" s="614" t="s">
        <v>310</v>
      </c>
      <c r="N42" s="614" t="s">
        <v>486</v>
      </c>
      <c r="P42" s="614"/>
      <c r="Q42" s="614" t="s">
        <v>78</v>
      </c>
      <c r="R42" s="614" t="s">
        <v>309</v>
      </c>
      <c r="S42" s="619" t="s">
        <v>82</v>
      </c>
      <c r="T42" s="614" t="s">
        <v>310</v>
      </c>
      <c r="U42" s="614" t="s">
        <v>486</v>
      </c>
    </row>
    <row r="43" spans="2:21" x14ac:dyDescent="0.2">
      <c r="B43" s="612" t="s">
        <v>721</v>
      </c>
      <c r="C43" s="618">
        <v>53.660849999999996</v>
      </c>
      <c r="D43" s="618">
        <v>838.83070999999995</v>
      </c>
      <c r="E43" s="617">
        <v>0.83000155512029494</v>
      </c>
      <c r="F43" s="616">
        <f t="shared" ref="F43:F57" si="12">D43*E43/100</f>
        <v>6.9623079378266111</v>
      </c>
      <c r="G43" s="615">
        <f t="shared" ref="G43:G57" si="13">C43+D43</f>
        <v>892.49155999999994</v>
      </c>
      <c r="I43" s="612" t="s">
        <v>721</v>
      </c>
      <c r="J43" s="618">
        <v>8760.9670000000006</v>
      </c>
      <c r="K43" s="618">
        <v>169181.13</v>
      </c>
      <c r="L43" s="617">
        <v>1.6188044985800498</v>
      </c>
      <c r="M43" s="616">
        <f t="shared" ref="M43:M57" si="14">K43*L43/100</f>
        <v>2738.7117431885622</v>
      </c>
      <c r="N43" s="615">
        <f t="shared" ref="N43:N57" si="15">J43+K43</f>
        <v>177942.09700000001</v>
      </c>
      <c r="P43" s="612" t="s">
        <v>721</v>
      </c>
      <c r="Q43" s="618">
        <v>58204.506999999998</v>
      </c>
      <c r="R43" s="618">
        <v>983274.19900000002</v>
      </c>
      <c r="S43" s="617">
        <v>1.365053762885452</v>
      </c>
      <c r="T43" s="616">
        <f t="shared" ref="T43:T57" si="16">R43*S43/100</f>
        <v>13422.221452931286</v>
      </c>
      <c r="U43" s="615">
        <f t="shared" ref="U43:U57" si="17">Q43+R43</f>
        <v>1041478.706</v>
      </c>
    </row>
    <row r="44" spans="2:21" x14ac:dyDescent="0.2">
      <c r="B44" s="608" t="s">
        <v>286</v>
      </c>
      <c r="C44" s="346">
        <v>2.7056399999999998</v>
      </c>
      <c r="D44" s="346">
        <v>42.14284</v>
      </c>
      <c r="E44" s="468">
        <v>2.77</v>
      </c>
      <c r="F44" s="472">
        <f t="shared" si="12"/>
        <v>1.167356668</v>
      </c>
      <c r="G44" s="473">
        <f t="shared" si="13"/>
        <v>44.848480000000002</v>
      </c>
      <c r="I44" s="608" t="s">
        <v>286</v>
      </c>
      <c r="J44" s="346">
        <v>347.90800000000002</v>
      </c>
      <c r="K44" s="346">
        <v>7377.8130000000001</v>
      </c>
      <c r="L44" s="468">
        <v>6.37</v>
      </c>
      <c r="M44" s="472">
        <f t="shared" si="14"/>
        <v>469.96668810000006</v>
      </c>
      <c r="N44" s="473">
        <f t="shared" si="15"/>
        <v>7725.7210000000005</v>
      </c>
      <c r="P44" s="608" t="s">
        <v>286</v>
      </c>
      <c r="Q44" s="346">
        <v>4478.9949999999999</v>
      </c>
      <c r="R44" s="346">
        <v>45012.286999999997</v>
      </c>
      <c r="S44" s="468">
        <v>5.59</v>
      </c>
      <c r="T44" s="472">
        <f t="shared" si="16"/>
        <v>2516.1868433</v>
      </c>
      <c r="U44" s="473">
        <f t="shared" si="17"/>
        <v>49491.281999999999</v>
      </c>
    </row>
    <row r="45" spans="2:21" x14ac:dyDescent="0.2">
      <c r="B45" s="609" t="s">
        <v>307</v>
      </c>
      <c r="C45" s="346">
        <v>2.2127600000000003</v>
      </c>
      <c r="D45" s="346">
        <v>79.515889999999999</v>
      </c>
      <c r="E45" s="468">
        <v>2.44</v>
      </c>
      <c r="F45" s="472">
        <f t="shared" si="12"/>
        <v>1.9401877159999998</v>
      </c>
      <c r="G45" s="473">
        <f t="shared" si="13"/>
        <v>81.728650000000002</v>
      </c>
      <c r="I45" s="609" t="s">
        <v>307</v>
      </c>
      <c r="J45" s="346">
        <v>293.49099999999999</v>
      </c>
      <c r="K45" s="346">
        <v>17157.629000000001</v>
      </c>
      <c r="L45" s="468">
        <v>5.69</v>
      </c>
      <c r="M45" s="472">
        <f t="shared" si="14"/>
        <v>976.2690901000002</v>
      </c>
      <c r="N45" s="473">
        <f t="shared" si="15"/>
        <v>17451.120000000003</v>
      </c>
      <c r="P45" s="609" t="s">
        <v>307</v>
      </c>
      <c r="Q45" s="346">
        <v>2587.0569999999998</v>
      </c>
      <c r="R45" s="346">
        <v>98449.111000000004</v>
      </c>
      <c r="S45" s="468">
        <v>4.21</v>
      </c>
      <c r="T45" s="472">
        <f t="shared" si="16"/>
        <v>4144.7075731000004</v>
      </c>
      <c r="U45" s="473">
        <f t="shared" si="17"/>
        <v>101036.16800000001</v>
      </c>
    </row>
    <row r="46" spans="2:21" x14ac:dyDescent="0.2">
      <c r="B46" s="608" t="s">
        <v>287</v>
      </c>
      <c r="C46" s="346">
        <v>4.1018500000000007</v>
      </c>
      <c r="D46" s="346">
        <v>86.757109999999997</v>
      </c>
      <c r="E46" s="468">
        <v>2.0299999999999998</v>
      </c>
      <c r="F46" s="472">
        <f t="shared" si="12"/>
        <v>1.7611693329999998</v>
      </c>
      <c r="G46" s="473">
        <f t="shared" si="13"/>
        <v>90.858959999999996</v>
      </c>
      <c r="I46" s="608" t="s">
        <v>287</v>
      </c>
      <c r="J46" s="346">
        <v>538.20299999999997</v>
      </c>
      <c r="K46" s="346">
        <v>15643.007</v>
      </c>
      <c r="L46" s="468">
        <v>5.31</v>
      </c>
      <c r="M46" s="472">
        <f t="shared" si="14"/>
        <v>830.64367170000003</v>
      </c>
      <c r="N46" s="473">
        <f t="shared" si="15"/>
        <v>16181.21</v>
      </c>
      <c r="P46" s="608" t="s">
        <v>287</v>
      </c>
      <c r="Q46" s="346">
        <v>4193.1610000000001</v>
      </c>
      <c r="R46" s="346">
        <v>95460.7</v>
      </c>
      <c r="S46" s="468">
        <v>4.79</v>
      </c>
      <c r="T46" s="472">
        <f t="shared" si="16"/>
        <v>4572.5675299999994</v>
      </c>
      <c r="U46" s="473">
        <f t="shared" si="17"/>
        <v>99653.861000000004</v>
      </c>
    </row>
    <row r="47" spans="2:21" x14ac:dyDescent="0.2">
      <c r="B47" s="609" t="s">
        <v>288</v>
      </c>
      <c r="C47" s="346">
        <v>2.0144700000000002</v>
      </c>
      <c r="D47" s="346">
        <v>37.045209999999997</v>
      </c>
      <c r="E47" s="468">
        <v>2.93</v>
      </c>
      <c r="F47" s="472">
        <f t="shared" si="12"/>
        <v>1.085424653</v>
      </c>
      <c r="G47" s="473">
        <f t="shared" si="13"/>
        <v>39.05968</v>
      </c>
      <c r="I47" s="609" t="s">
        <v>288</v>
      </c>
      <c r="J47" s="346">
        <v>220.55799999999999</v>
      </c>
      <c r="K47" s="346">
        <v>5928.0720000000001</v>
      </c>
      <c r="L47" s="468">
        <v>9.48</v>
      </c>
      <c r="M47" s="472">
        <f t="shared" si="14"/>
        <v>561.98122560000002</v>
      </c>
      <c r="N47" s="473">
        <f t="shared" si="15"/>
        <v>6148.63</v>
      </c>
      <c r="P47" s="609" t="s">
        <v>288</v>
      </c>
      <c r="Q47" s="346">
        <v>1377.17</v>
      </c>
      <c r="R47" s="346">
        <v>40045.226000000002</v>
      </c>
      <c r="S47" s="468">
        <v>7.34</v>
      </c>
      <c r="T47" s="472">
        <f t="shared" si="16"/>
        <v>2939.3195884000002</v>
      </c>
      <c r="U47" s="473">
        <f t="shared" si="17"/>
        <v>41422.396000000001</v>
      </c>
    </row>
    <row r="48" spans="2:21" x14ac:dyDescent="0.2">
      <c r="B48" s="608" t="s">
        <v>305</v>
      </c>
      <c r="C48" s="346">
        <v>0.63409000000000004</v>
      </c>
      <c r="D48" s="346">
        <v>23.61544</v>
      </c>
      <c r="E48" s="468">
        <v>17.37</v>
      </c>
      <c r="F48" s="472">
        <f t="shared" si="12"/>
        <v>4.102001928</v>
      </c>
      <c r="G48" s="473">
        <f t="shared" si="13"/>
        <v>24.24953</v>
      </c>
      <c r="I48" s="608" t="s">
        <v>305</v>
      </c>
      <c r="J48" s="346">
        <v>51.53</v>
      </c>
      <c r="K48" s="346">
        <v>3994.7280000000001</v>
      </c>
      <c r="L48" s="468">
        <v>14.1</v>
      </c>
      <c r="M48" s="472">
        <f t="shared" si="14"/>
        <v>563.25664800000004</v>
      </c>
      <c r="N48" s="473">
        <f t="shared" si="15"/>
        <v>4046.2580000000003</v>
      </c>
      <c r="P48" s="608" t="s">
        <v>305</v>
      </c>
      <c r="Q48" s="346">
        <v>712.92</v>
      </c>
      <c r="R48" s="346">
        <v>20975.358</v>
      </c>
      <c r="S48" s="468">
        <v>11.96</v>
      </c>
      <c r="T48" s="472">
        <f t="shared" si="16"/>
        <v>2508.6528168</v>
      </c>
      <c r="U48" s="473">
        <f t="shared" si="17"/>
        <v>21688.277999999998</v>
      </c>
    </row>
    <row r="49" spans="2:21" x14ac:dyDescent="0.2">
      <c r="B49" s="609" t="s">
        <v>289</v>
      </c>
      <c r="C49" s="346">
        <v>0.50458000000000003</v>
      </c>
      <c r="D49" s="346">
        <v>29.561889999999998</v>
      </c>
      <c r="E49" s="468">
        <v>2.68</v>
      </c>
      <c r="F49" s="472">
        <f t="shared" si="12"/>
        <v>0.79225865200000001</v>
      </c>
      <c r="G49" s="473">
        <f t="shared" si="13"/>
        <v>30.066469999999999</v>
      </c>
      <c r="I49" s="609" t="s">
        <v>289</v>
      </c>
      <c r="J49" s="346">
        <v>56.539000000000001</v>
      </c>
      <c r="K49" s="346">
        <v>5432.7039999999997</v>
      </c>
      <c r="L49" s="468">
        <v>14.36</v>
      </c>
      <c r="M49" s="472">
        <f t="shared" si="14"/>
        <v>780.13629439999988</v>
      </c>
      <c r="N49" s="473">
        <f t="shared" si="15"/>
        <v>5489.2429999999995</v>
      </c>
      <c r="P49" s="609" t="s">
        <v>289</v>
      </c>
      <c r="Q49" s="346">
        <v>462.83800000000002</v>
      </c>
      <c r="R49" s="346">
        <v>27508.71</v>
      </c>
      <c r="S49" s="468">
        <v>7.28</v>
      </c>
      <c r="T49" s="472">
        <f t="shared" si="16"/>
        <v>2002.634088</v>
      </c>
      <c r="U49" s="473">
        <f t="shared" si="17"/>
        <v>27971.547999999999</v>
      </c>
    </row>
    <row r="50" spans="2:21" x14ac:dyDescent="0.2">
      <c r="B50" s="608" t="s">
        <v>306</v>
      </c>
      <c r="C50" s="346">
        <v>2.83935</v>
      </c>
      <c r="D50" s="346">
        <v>83.496759999999995</v>
      </c>
      <c r="E50" s="468">
        <v>3.14</v>
      </c>
      <c r="F50" s="472">
        <f t="shared" si="12"/>
        <v>2.6217982639999997</v>
      </c>
      <c r="G50" s="473">
        <f t="shared" si="13"/>
        <v>86.336109999999991</v>
      </c>
      <c r="I50" s="608" t="s">
        <v>306</v>
      </c>
      <c r="J50" s="346">
        <v>358.00900000000001</v>
      </c>
      <c r="K50" s="346">
        <v>16863.766</v>
      </c>
      <c r="L50" s="468">
        <v>4.92</v>
      </c>
      <c r="M50" s="472">
        <f t="shared" si="14"/>
        <v>829.69728720000001</v>
      </c>
      <c r="N50" s="473">
        <f t="shared" si="15"/>
        <v>17221.775000000001</v>
      </c>
      <c r="P50" s="608" t="s">
        <v>306</v>
      </c>
      <c r="Q50" s="346">
        <v>3903.6309999999999</v>
      </c>
      <c r="R50" s="346">
        <v>121344.743</v>
      </c>
      <c r="S50" s="468">
        <v>4.88</v>
      </c>
      <c r="T50" s="472">
        <f t="shared" si="16"/>
        <v>5921.6234583999994</v>
      </c>
      <c r="U50" s="473">
        <f t="shared" si="17"/>
        <v>125248.374</v>
      </c>
    </row>
    <row r="51" spans="2:21" x14ac:dyDescent="0.2">
      <c r="B51" s="609" t="s">
        <v>290</v>
      </c>
      <c r="C51" s="346">
        <v>5.6926099999999993</v>
      </c>
      <c r="D51" s="346">
        <v>33.064999999999998</v>
      </c>
      <c r="E51" s="468">
        <v>2.74</v>
      </c>
      <c r="F51" s="472">
        <f t="shared" si="12"/>
        <v>0.90598100000000004</v>
      </c>
      <c r="G51" s="473">
        <f t="shared" si="13"/>
        <v>38.75761</v>
      </c>
      <c r="I51" s="609" t="s">
        <v>290</v>
      </c>
      <c r="J51" s="346">
        <v>784.07899999999995</v>
      </c>
      <c r="K51" s="346">
        <v>6620.7129999999997</v>
      </c>
      <c r="L51" s="468">
        <v>7.47</v>
      </c>
      <c r="M51" s="472">
        <f t="shared" si="14"/>
        <v>494.56726109999994</v>
      </c>
      <c r="N51" s="473">
        <f t="shared" si="15"/>
        <v>7404.7919999999995</v>
      </c>
      <c r="P51" s="609" t="s">
        <v>290</v>
      </c>
      <c r="Q51" s="346">
        <v>7589.9960000000001</v>
      </c>
      <c r="R51" s="346">
        <v>38591.752999999997</v>
      </c>
      <c r="S51" s="468">
        <v>6.45</v>
      </c>
      <c r="T51" s="472">
        <f t="shared" si="16"/>
        <v>2489.1680685000001</v>
      </c>
      <c r="U51" s="473">
        <f t="shared" si="17"/>
        <v>46181.748999999996</v>
      </c>
    </row>
    <row r="52" spans="2:21" x14ac:dyDescent="0.2">
      <c r="B52" s="608" t="s">
        <v>291</v>
      </c>
      <c r="C52" s="346">
        <v>2.5495999999999999</v>
      </c>
      <c r="D52" s="346">
        <v>36.332360000000001</v>
      </c>
      <c r="E52" s="468">
        <v>4.5199999999999996</v>
      </c>
      <c r="F52" s="472">
        <f t="shared" si="12"/>
        <v>1.6422226719999999</v>
      </c>
      <c r="G52" s="473">
        <f t="shared" si="13"/>
        <v>38.881959999999999</v>
      </c>
      <c r="I52" s="608" t="s">
        <v>291</v>
      </c>
      <c r="J52" s="346">
        <v>120.61</v>
      </c>
      <c r="K52" s="346">
        <v>5436.1059999999998</v>
      </c>
      <c r="L52" s="468">
        <v>7.43</v>
      </c>
      <c r="M52" s="472">
        <f t="shared" si="14"/>
        <v>403.9026758</v>
      </c>
      <c r="N52" s="473">
        <f t="shared" si="15"/>
        <v>5556.7159999999994</v>
      </c>
      <c r="P52" s="608" t="s">
        <v>291</v>
      </c>
      <c r="Q52" s="346">
        <v>2677.2739999999999</v>
      </c>
      <c r="R52" s="346">
        <v>47697.063000000002</v>
      </c>
      <c r="S52" s="468">
        <v>7.43</v>
      </c>
      <c r="T52" s="472">
        <f t="shared" si="16"/>
        <v>3543.8917809</v>
      </c>
      <c r="U52" s="473">
        <f t="shared" si="17"/>
        <v>50374.337</v>
      </c>
    </row>
    <row r="53" spans="2:21" x14ac:dyDescent="0.2">
      <c r="B53" s="609" t="s">
        <v>292</v>
      </c>
      <c r="C53" s="346">
        <v>13.469959999999999</v>
      </c>
      <c r="D53" s="346">
        <v>79.923190000000005</v>
      </c>
      <c r="E53" s="468">
        <v>1.91</v>
      </c>
      <c r="F53" s="472">
        <f t="shared" si="12"/>
        <v>1.526532929</v>
      </c>
      <c r="G53" s="473">
        <f t="shared" si="13"/>
        <v>93.393150000000006</v>
      </c>
      <c r="I53" s="609" t="s">
        <v>292</v>
      </c>
      <c r="J53" s="346">
        <v>3557.924</v>
      </c>
      <c r="K53" s="346">
        <v>18296.802</v>
      </c>
      <c r="L53" s="468">
        <v>3.74</v>
      </c>
      <c r="M53" s="472">
        <f t="shared" si="14"/>
        <v>684.30039480000005</v>
      </c>
      <c r="N53" s="473">
        <f t="shared" si="15"/>
        <v>21854.725999999999</v>
      </c>
      <c r="P53" s="609" t="s">
        <v>292</v>
      </c>
      <c r="Q53" s="346">
        <v>12595.567999999999</v>
      </c>
      <c r="R53" s="346">
        <v>96279.448000000004</v>
      </c>
      <c r="S53" s="468">
        <v>3.61</v>
      </c>
      <c r="T53" s="472">
        <f t="shared" si="16"/>
        <v>3475.6880728000001</v>
      </c>
      <c r="U53" s="473">
        <f t="shared" si="17"/>
        <v>108875.016</v>
      </c>
    </row>
    <row r="54" spans="2:21" x14ac:dyDescent="0.2">
      <c r="B54" s="608" t="s">
        <v>293</v>
      </c>
      <c r="C54" s="346">
        <v>1.42235</v>
      </c>
      <c r="D54" s="346">
        <v>72.163589999999999</v>
      </c>
      <c r="E54" s="468">
        <v>1.51</v>
      </c>
      <c r="F54" s="472">
        <f t="shared" si="12"/>
        <v>1.0896702089999999</v>
      </c>
      <c r="G54" s="473">
        <f t="shared" si="13"/>
        <v>73.585939999999994</v>
      </c>
      <c r="I54" s="608" t="s">
        <v>293</v>
      </c>
      <c r="J54" s="346">
        <v>219.81800000000001</v>
      </c>
      <c r="K54" s="346">
        <v>16471.534</v>
      </c>
      <c r="L54" s="468">
        <v>3.95</v>
      </c>
      <c r="M54" s="472">
        <f t="shared" si="14"/>
        <v>650.62559299999998</v>
      </c>
      <c r="N54" s="473">
        <f t="shared" si="15"/>
        <v>16691.351999999999</v>
      </c>
      <c r="P54" s="608" t="s">
        <v>293</v>
      </c>
      <c r="Q54" s="346">
        <v>1660.3109999999999</v>
      </c>
      <c r="R54" s="346">
        <v>81289.407999999996</v>
      </c>
      <c r="S54" s="468">
        <v>3.99</v>
      </c>
      <c r="T54" s="472">
        <f t="shared" si="16"/>
        <v>3243.4473791999999</v>
      </c>
      <c r="U54" s="473">
        <f t="shared" si="17"/>
        <v>82949.718999999997</v>
      </c>
    </row>
    <row r="55" spans="2:21" x14ac:dyDescent="0.2">
      <c r="B55" s="609" t="s">
        <v>294</v>
      </c>
      <c r="C55" s="346">
        <v>4.7088700000000001</v>
      </c>
      <c r="D55" s="346">
        <v>75.695740000000001</v>
      </c>
      <c r="E55" s="468">
        <v>2.08</v>
      </c>
      <c r="F55" s="472">
        <f t="shared" si="12"/>
        <v>1.5744713920000002</v>
      </c>
      <c r="G55" s="473">
        <f t="shared" si="13"/>
        <v>80.404610000000005</v>
      </c>
      <c r="I55" s="609" t="s">
        <v>294</v>
      </c>
      <c r="J55" s="346">
        <v>776.69600000000003</v>
      </c>
      <c r="K55" s="346">
        <v>17087.502</v>
      </c>
      <c r="L55" s="468">
        <v>5.19</v>
      </c>
      <c r="M55" s="472">
        <f t="shared" si="14"/>
        <v>886.84135380000009</v>
      </c>
      <c r="N55" s="473">
        <f t="shared" si="15"/>
        <v>17864.198</v>
      </c>
      <c r="P55" s="609" t="s">
        <v>294</v>
      </c>
      <c r="Q55" s="346">
        <v>3998.9029999999998</v>
      </c>
      <c r="R55" s="346">
        <v>86019.127999999997</v>
      </c>
      <c r="S55" s="468">
        <v>4.0599999999999996</v>
      </c>
      <c r="T55" s="472">
        <f t="shared" si="16"/>
        <v>3492.3765967999998</v>
      </c>
      <c r="U55" s="473">
        <f t="shared" si="17"/>
        <v>90018.031000000003</v>
      </c>
    </row>
    <row r="56" spans="2:21" x14ac:dyDescent="0.2">
      <c r="B56" s="608" t="s">
        <v>295</v>
      </c>
      <c r="C56" s="346">
        <v>7.87758</v>
      </c>
      <c r="D56" s="346">
        <v>93.086910000000003</v>
      </c>
      <c r="E56" s="468">
        <v>1.87</v>
      </c>
      <c r="F56" s="472">
        <f t="shared" si="12"/>
        <v>1.740725217</v>
      </c>
      <c r="G56" s="473">
        <f t="shared" si="13"/>
        <v>100.96449</v>
      </c>
      <c r="I56" s="608" t="s">
        <v>295</v>
      </c>
      <c r="J56" s="346">
        <v>1104.704</v>
      </c>
      <c r="K56" s="346">
        <v>21614.151999999998</v>
      </c>
      <c r="L56" s="468">
        <v>5.39</v>
      </c>
      <c r="M56" s="472">
        <f t="shared" si="14"/>
        <v>1165.0027928</v>
      </c>
      <c r="N56" s="473">
        <f t="shared" si="15"/>
        <v>22718.856</v>
      </c>
      <c r="P56" s="608" t="s">
        <v>295</v>
      </c>
      <c r="Q56" s="346">
        <v>9078.16</v>
      </c>
      <c r="R56" s="346">
        <v>109116.84299999999</v>
      </c>
      <c r="S56" s="468">
        <v>4.0199999999999996</v>
      </c>
      <c r="T56" s="472">
        <f t="shared" si="16"/>
        <v>4386.4970885999992</v>
      </c>
      <c r="U56" s="473">
        <f t="shared" si="17"/>
        <v>118195.003</v>
      </c>
    </row>
    <row r="57" spans="2:21" ht="13.5" thickBot="1" x14ac:dyDescent="0.25">
      <c r="B57" s="604" t="s">
        <v>296</v>
      </c>
      <c r="C57" s="352">
        <v>2.9271400000000001</v>
      </c>
      <c r="D57" s="352">
        <v>66.428780000000003</v>
      </c>
      <c r="E57" s="469">
        <v>2.23</v>
      </c>
      <c r="F57" s="474">
        <f t="shared" si="12"/>
        <v>1.4813617940000001</v>
      </c>
      <c r="G57" s="475">
        <f t="shared" si="13"/>
        <v>69.355919999999998</v>
      </c>
      <c r="I57" s="604" t="s">
        <v>296</v>
      </c>
      <c r="J57" s="352">
        <v>330.89800000000002</v>
      </c>
      <c r="K57" s="352">
        <v>11256.602000000001</v>
      </c>
      <c r="L57" s="469">
        <v>4.5599999999999996</v>
      </c>
      <c r="M57" s="474">
        <f t="shared" si="14"/>
        <v>513.30105119999996</v>
      </c>
      <c r="N57" s="475">
        <f t="shared" si="15"/>
        <v>11587.5</v>
      </c>
      <c r="P57" s="604" t="s">
        <v>296</v>
      </c>
      <c r="Q57" s="352">
        <v>2888.5230000000001</v>
      </c>
      <c r="R57" s="352">
        <v>75484.421000000002</v>
      </c>
      <c r="S57" s="469">
        <v>3.96</v>
      </c>
      <c r="T57" s="474">
        <f t="shared" si="16"/>
        <v>2989.1830716000004</v>
      </c>
      <c r="U57" s="475">
        <f t="shared" si="17"/>
        <v>78372.944000000003</v>
      </c>
    </row>
    <row r="60" spans="2:21" ht="38.25" customHeight="1" x14ac:dyDescent="0.2">
      <c r="B60" s="1024" t="s">
        <v>749</v>
      </c>
      <c r="C60" s="1025"/>
      <c r="D60" s="1025"/>
      <c r="E60" s="1025"/>
      <c r="F60" s="1025"/>
      <c r="G60" s="1025"/>
      <c r="I60" s="1024" t="s">
        <v>750</v>
      </c>
      <c r="J60" s="1025"/>
      <c r="K60" s="1025"/>
      <c r="L60" s="1025"/>
      <c r="M60" s="1025"/>
      <c r="N60" s="1025"/>
      <c r="P60" s="1024" t="s">
        <v>751</v>
      </c>
      <c r="Q60" s="1025"/>
      <c r="R60" s="1025"/>
      <c r="S60" s="1025"/>
      <c r="T60" s="1025"/>
      <c r="U60" s="1025"/>
    </row>
    <row r="61" spans="2:21" ht="13.5" thickBot="1" x14ac:dyDescent="0.25">
      <c r="B61" s="614"/>
      <c r="C61" s="614" t="s">
        <v>78</v>
      </c>
      <c r="D61" s="614" t="s">
        <v>309</v>
      </c>
      <c r="E61" s="619" t="s">
        <v>82</v>
      </c>
      <c r="F61" s="614" t="s">
        <v>310</v>
      </c>
      <c r="G61" s="614" t="s">
        <v>486</v>
      </c>
      <c r="I61" s="614"/>
      <c r="J61" s="614" t="s">
        <v>78</v>
      </c>
      <c r="K61" s="614" t="s">
        <v>309</v>
      </c>
      <c r="L61" s="619" t="s">
        <v>82</v>
      </c>
      <c r="M61" s="614" t="s">
        <v>310</v>
      </c>
      <c r="N61" s="614" t="s">
        <v>486</v>
      </c>
      <c r="P61" s="614"/>
      <c r="Q61" s="614" t="s">
        <v>78</v>
      </c>
      <c r="R61" s="614" t="s">
        <v>309</v>
      </c>
      <c r="S61" s="619" t="s">
        <v>82</v>
      </c>
      <c r="T61" s="614" t="s">
        <v>310</v>
      </c>
      <c r="U61" s="614" t="s">
        <v>486</v>
      </c>
    </row>
    <row r="62" spans="2:21" x14ac:dyDescent="0.2">
      <c r="B62" s="612" t="s">
        <v>721</v>
      </c>
      <c r="C62" s="618">
        <v>9.8961100000000002</v>
      </c>
      <c r="D62" s="618">
        <v>30.346109999999999</v>
      </c>
      <c r="E62" s="617">
        <v>5.0982243069023951</v>
      </c>
      <c r="F62" s="616">
        <f t="shared" ref="F62:F76" si="18">D62*E62/100</f>
        <v>1.5471127562193385</v>
      </c>
      <c r="G62" s="615">
        <f t="shared" ref="G62:G76" si="19">C62+D62</f>
        <v>40.242220000000003</v>
      </c>
      <c r="I62" s="612" t="s">
        <v>721</v>
      </c>
      <c r="J62" s="618">
        <v>1677.8589999999999</v>
      </c>
      <c r="K62" s="618">
        <v>10778.144</v>
      </c>
      <c r="L62" s="617">
        <v>5.8904734254558937</v>
      </c>
      <c r="M62" s="616">
        <f t="shared" ref="M62:M76" si="20">K62*L62/100</f>
        <v>634.88370807736885</v>
      </c>
      <c r="N62" s="615">
        <f t="shared" ref="N62:N76" si="21">J62+K62</f>
        <v>12456.003000000001</v>
      </c>
      <c r="P62" s="612" t="s">
        <v>721</v>
      </c>
      <c r="Q62" s="618">
        <v>10839.898999999999</v>
      </c>
      <c r="R62" s="618">
        <v>20891.810000000001</v>
      </c>
      <c r="S62" s="617">
        <v>10.125367505067075</v>
      </c>
      <c r="T62" s="616">
        <f t="shared" ref="T62:T76" si="22">R62*S62/100</f>
        <v>2115.3725409603539</v>
      </c>
      <c r="U62" s="615">
        <f t="shared" ref="U62:U76" si="23">Q62+R62</f>
        <v>31731.709000000003</v>
      </c>
    </row>
    <row r="63" spans="2:21" x14ac:dyDescent="0.2">
      <c r="B63" s="608" t="s">
        <v>286</v>
      </c>
      <c r="C63" s="346">
        <v>1.3638800000000002</v>
      </c>
      <c r="D63" s="346">
        <v>3.81907</v>
      </c>
      <c r="E63" s="468">
        <v>15.01</v>
      </c>
      <c r="F63" s="472">
        <f t="shared" si="18"/>
        <v>0.57324240699999995</v>
      </c>
      <c r="G63" s="473">
        <f t="shared" si="19"/>
        <v>5.1829499999999999</v>
      </c>
      <c r="I63" s="608" t="s">
        <v>286</v>
      </c>
      <c r="J63" s="346">
        <v>275.27499999999998</v>
      </c>
      <c r="K63" s="346">
        <v>1305.702</v>
      </c>
      <c r="L63" s="468">
        <v>16.46</v>
      </c>
      <c r="M63" s="472">
        <f t="shared" si="20"/>
        <v>214.91854920000003</v>
      </c>
      <c r="N63" s="473">
        <f t="shared" si="21"/>
        <v>1580.9769999999999</v>
      </c>
      <c r="P63" s="608" t="s">
        <v>286</v>
      </c>
      <c r="Q63" s="346">
        <v>1784.9590000000001</v>
      </c>
      <c r="R63" s="346">
        <v>2695.598</v>
      </c>
      <c r="S63" s="468">
        <v>89.15</v>
      </c>
      <c r="T63" s="472">
        <f t="shared" si="22"/>
        <v>2403.1256170000001</v>
      </c>
      <c r="U63" s="473">
        <f t="shared" si="23"/>
        <v>4480.5569999999998</v>
      </c>
    </row>
    <row r="64" spans="2:21" x14ac:dyDescent="0.2">
      <c r="B64" s="609" t="s">
        <v>307</v>
      </c>
      <c r="C64" s="346">
        <v>0.51385999999999998</v>
      </c>
      <c r="D64" s="346">
        <v>2.7468699999999999</v>
      </c>
      <c r="E64" s="468">
        <v>17.71</v>
      </c>
      <c r="F64" s="472">
        <f t="shared" si="18"/>
        <v>0.48647067700000002</v>
      </c>
      <c r="G64" s="473">
        <f t="shared" si="19"/>
        <v>3.2607299999999997</v>
      </c>
      <c r="I64" s="609" t="s">
        <v>307</v>
      </c>
      <c r="J64" s="346">
        <v>67.995000000000005</v>
      </c>
      <c r="K64" s="346">
        <v>1004.951</v>
      </c>
      <c r="L64" s="468">
        <v>18.43</v>
      </c>
      <c r="M64" s="472">
        <f t="shared" si="20"/>
        <v>185.21246930000001</v>
      </c>
      <c r="N64" s="473">
        <f t="shared" si="21"/>
        <v>1072.9459999999999</v>
      </c>
      <c r="P64" s="609" t="s">
        <v>307</v>
      </c>
      <c r="Q64" s="346">
        <v>726.09199999999998</v>
      </c>
      <c r="R64" s="346">
        <v>1751.463</v>
      </c>
      <c r="S64" s="468">
        <v>20.309999999999999</v>
      </c>
      <c r="T64" s="472">
        <f t="shared" si="22"/>
        <v>355.72213529999993</v>
      </c>
      <c r="U64" s="473">
        <f t="shared" si="23"/>
        <v>2477.5549999999998</v>
      </c>
    </row>
    <row r="65" spans="1:22" x14ac:dyDescent="0.2">
      <c r="B65" s="608" t="s">
        <v>287</v>
      </c>
      <c r="C65" s="346">
        <v>0.29419999999999996</v>
      </c>
      <c r="D65" s="346">
        <v>1.64174</v>
      </c>
      <c r="E65" s="468">
        <v>22.27</v>
      </c>
      <c r="F65" s="472">
        <f t="shared" si="18"/>
        <v>0.36561549800000004</v>
      </c>
      <c r="G65" s="473">
        <f t="shared" si="19"/>
        <v>1.93594</v>
      </c>
      <c r="I65" s="608" t="s">
        <v>287</v>
      </c>
      <c r="J65" s="346">
        <v>34.968000000000004</v>
      </c>
      <c r="K65" s="346">
        <v>446.03300000000002</v>
      </c>
      <c r="L65" s="468">
        <v>21.56</v>
      </c>
      <c r="M65" s="472">
        <f t="shared" si="20"/>
        <v>96.164714799999999</v>
      </c>
      <c r="N65" s="473">
        <f t="shared" si="21"/>
        <v>481.00100000000003</v>
      </c>
      <c r="P65" s="608" t="s">
        <v>287</v>
      </c>
      <c r="Q65" s="346">
        <v>143.00899999999999</v>
      </c>
      <c r="R65" s="346">
        <v>980.11400000000003</v>
      </c>
      <c r="S65" s="468">
        <v>21.03</v>
      </c>
      <c r="T65" s="472">
        <f t="shared" si="22"/>
        <v>206.11797420000002</v>
      </c>
      <c r="U65" s="473">
        <f t="shared" si="23"/>
        <v>1123.123</v>
      </c>
    </row>
    <row r="66" spans="1:22" x14ac:dyDescent="0.2">
      <c r="B66" s="609" t="s">
        <v>288</v>
      </c>
      <c r="C66" s="346">
        <v>0.25562000000000001</v>
      </c>
      <c r="D66" s="346">
        <v>1.2879100000000001</v>
      </c>
      <c r="E66" s="468">
        <v>29.7</v>
      </c>
      <c r="F66" s="472">
        <f t="shared" si="18"/>
        <v>0.38250927000000007</v>
      </c>
      <c r="G66" s="473">
        <f t="shared" si="19"/>
        <v>1.5435300000000001</v>
      </c>
      <c r="I66" s="609" t="s">
        <v>288</v>
      </c>
      <c r="J66" s="346">
        <v>35.945999999999998</v>
      </c>
      <c r="K66" s="346">
        <v>451.87700000000001</v>
      </c>
      <c r="L66" s="468">
        <v>37.299999999999997</v>
      </c>
      <c r="M66" s="472">
        <f t="shared" si="20"/>
        <v>168.55012099999999</v>
      </c>
      <c r="N66" s="473">
        <f t="shared" si="21"/>
        <v>487.82299999999998</v>
      </c>
      <c r="P66" s="609" t="s">
        <v>288</v>
      </c>
      <c r="Q66" s="346">
        <v>202.39</v>
      </c>
      <c r="R66" s="346">
        <v>591.33100000000002</v>
      </c>
      <c r="S66" s="468">
        <v>38.74</v>
      </c>
      <c r="T66" s="472">
        <f t="shared" si="22"/>
        <v>229.08162940000003</v>
      </c>
      <c r="U66" s="473">
        <f t="shared" si="23"/>
        <v>793.721</v>
      </c>
    </row>
    <row r="67" spans="1:22" x14ac:dyDescent="0.2">
      <c r="B67" s="608" t="s">
        <v>305</v>
      </c>
      <c r="C67" s="346">
        <v>7.1279999999999996E-2</v>
      </c>
      <c r="D67" s="346">
        <v>0.73529</v>
      </c>
      <c r="E67" s="468">
        <v>35.65</v>
      </c>
      <c r="F67" s="472">
        <f t="shared" si="18"/>
        <v>0.26213088499999998</v>
      </c>
      <c r="G67" s="473">
        <f t="shared" si="19"/>
        <v>0.80657000000000001</v>
      </c>
      <c r="I67" s="608" t="s">
        <v>305</v>
      </c>
      <c r="J67" s="346">
        <v>10.670999999999999</v>
      </c>
      <c r="K67" s="346">
        <v>180.87899999999999</v>
      </c>
      <c r="L67" s="468">
        <v>33.78</v>
      </c>
      <c r="M67" s="472">
        <f t="shared" si="20"/>
        <v>61.100926199999996</v>
      </c>
      <c r="N67" s="473">
        <f t="shared" si="21"/>
        <v>191.54999999999998</v>
      </c>
      <c r="P67" s="608" t="s">
        <v>305</v>
      </c>
      <c r="Q67" s="346">
        <v>73.296000000000006</v>
      </c>
      <c r="R67" s="346">
        <v>457.08800000000002</v>
      </c>
      <c r="S67" s="468">
        <v>109.31</v>
      </c>
      <c r="T67" s="472">
        <f t="shared" si="22"/>
        <v>499.64289280000003</v>
      </c>
      <c r="U67" s="473">
        <f t="shared" si="23"/>
        <v>530.38400000000001</v>
      </c>
    </row>
    <row r="68" spans="1:22" x14ac:dyDescent="0.2">
      <c r="B68" s="609" t="s">
        <v>289</v>
      </c>
      <c r="C68" s="346">
        <v>7.7819999999999986E-2</v>
      </c>
      <c r="D68" s="346">
        <v>0.84053999999999995</v>
      </c>
      <c r="E68" s="468">
        <v>30.4</v>
      </c>
      <c r="F68" s="472">
        <f t="shared" si="18"/>
        <v>0.25552416</v>
      </c>
      <c r="G68" s="473">
        <f t="shared" si="19"/>
        <v>0.91835999999999995</v>
      </c>
      <c r="I68" s="609" t="s">
        <v>289</v>
      </c>
      <c r="J68" s="346">
        <v>13.875999999999999</v>
      </c>
      <c r="K68" s="346">
        <v>310.005</v>
      </c>
      <c r="L68" s="468">
        <v>33.4</v>
      </c>
      <c r="M68" s="472">
        <f t="shared" si="20"/>
        <v>103.54167</v>
      </c>
      <c r="N68" s="473">
        <f t="shared" si="21"/>
        <v>323.88099999999997</v>
      </c>
      <c r="P68" s="609" t="s">
        <v>289</v>
      </c>
      <c r="Q68" s="346">
        <v>82.132999999999996</v>
      </c>
      <c r="R68" s="346">
        <v>494.935</v>
      </c>
      <c r="S68" s="468">
        <v>80.099999999999994</v>
      </c>
      <c r="T68" s="472">
        <f t="shared" si="22"/>
        <v>396.44293499999998</v>
      </c>
      <c r="U68" s="473">
        <f t="shared" si="23"/>
        <v>577.06799999999998</v>
      </c>
    </row>
    <row r="69" spans="1:22" x14ac:dyDescent="0.2">
      <c r="B69" s="608" t="s">
        <v>306</v>
      </c>
      <c r="C69" s="346">
        <v>0.14629</v>
      </c>
      <c r="D69" s="346">
        <v>1.3077699999999999</v>
      </c>
      <c r="E69" s="468">
        <v>25.38</v>
      </c>
      <c r="F69" s="472">
        <f t="shared" si="18"/>
        <v>0.33191202599999997</v>
      </c>
      <c r="G69" s="473">
        <f t="shared" si="19"/>
        <v>1.4540599999999999</v>
      </c>
      <c r="I69" s="608" t="s">
        <v>306</v>
      </c>
      <c r="J69" s="346">
        <v>26.117000000000001</v>
      </c>
      <c r="K69" s="346">
        <v>461.41399999999999</v>
      </c>
      <c r="L69" s="468">
        <v>26.33</v>
      </c>
      <c r="M69" s="472">
        <f t="shared" si="20"/>
        <v>121.49030619999999</v>
      </c>
      <c r="N69" s="473">
        <f t="shared" si="21"/>
        <v>487.53100000000001</v>
      </c>
      <c r="P69" s="608" t="s">
        <v>306</v>
      </c>
      <c r="Q69" s="346">
        <v>151.732</v>
      </c>
      <c r="R69" s="346">
        <v>1232.0509999999999</v>
      </c>
      <c r="S69" s="468">
        <v>15.3</v>
      </c>
      <c r="T69" s="472">
        <f t="shared" si="22"/>
        <v>188.503803</v>
      </c>
      <c r="U69" s="473">
        <f t="shared" si="23"/>
        <v>1383.7829999999999</v>
      </c>
    </row>
    <row r="70" spans="1:22" x14ac:dyDescent="0.2">
      <c r="B70" s="609" t="s">
        <v>290</v>
      </c>
      <c r="C70" s="346">
        <v>9.2409999999999992E-2</v>
      </c>
      <c r="D70" s="346">
        <v>0.63697999999999999</v>
      </c>
      <c r="E70" s="468">
        <v>26.46</v>
      </c>
      <c r="F70" s="472">
        <f t="shared" si="18"/>
        <v>0.16854490799999999</v>
      </c>
      <c r="G70" s="473">
        <f t="shared" si="19"/>
        <v>0.72938999999999998</v>
      </c>
      <c r="I70" s="609" t="s">
        <v>290</v>
      </c>
      <c r="J70" s="346">
        <v>15.483000000000001</v>
      </c>
      <c r="K70" s="346">
        <v>178.524</v>
      </c>
      <c r="L70" s="468">
        <v>28.62</v>
      </c>
      <c r="M70" s="472">
        <f t="shared" si="20"/>
        <v>51.0935688</v>
      </c>
      <c r="N70" s="473">
        <f t="shared" si="21"/>
        <v>194.00700000000001</v>
      </c>
      <c r="P70" s="609" t="s">
        <v>290</v>
      </c>
      <c r="Q70" s="346">
        <v>117.40600000000001</v>
      </c>
      <c r="R70" s="346">
        <v>411.88200000000001</v>
      </c>
      <c r="S70" s="468">
        <v>75.58</v>
      </c>
      <c r="T70" s="472">
        <f t="shared" si="22"/>
        <v>311.30041560000001</v>
      </c>
      <c r="U70" s="473">
        <f t="shared" si="23"/>
        <v>529.28800000000001</v>
      </c>
    </row>
    <row r="71" spans="1:22" x14ac:dyDescent="0.2">
      <c r="B71" s="608" t="s">
        <v>291</v>
      </c>
      <c r="C71" s="346">
        <v>1.1733699999999998</v>
      </c>
      <c r="D71" s="346">
        <v>2.9594999999999998</v>
      </c>
      <c r="E71" s="468">
        <v>19.440000000000001</v>
      </c>
      <c r="F71" s="472">
        <f t="shared" si="18"/>
        <v>0.57532680000000003</v>
      </c>
      <c r="G71" s="473">
        <f t="shared" si="19"/>
        <v>4.1328699999999996</v>
      </c>
      <c r="I71" s="608" t="s">
        <v>291</v>
      </c>
      <c r="J71" s="346">
        <v>173.82599999999999</v>
      </c>
      <c r="K71" s="346">
        <v>1171.6569999999999</v>
      </c>
      <c r="L71" s="468">
        <v>26.85</v>
      </c>
      <c r="M71" s="472">
        <f t="shared" si="20"/>
        <v>314.58990449999999</v>
      </c>
      <c r="N71" s="473">
        <f t="shared" si="21"/>
        <v>1345.4829999999999</v>
      </c>
      <c r="P71" s="608" t="s">
        <v>291</v>
      </c>
      <c r="Q71" s="346">
        <v>1762.4690000000001</v>
      </c>
      <c r="R71" s="346">
        <v>2326.7919999999999</v>
      </c>
      <c r="S71" s="468">
        <v>0</v>
      </c>
      <c r="T71" s="472">
        <f t="shared" si="22"/>
        <v>0</v>
      </c>
      <c r="U71" s="473">
        <f t="shared" si="23"/>
        <v>4089.261</v>
      </c>
    </row>
    <row r="72" spans="1:22" x14ac:dyDescent="0.2">
      <c r="A72" s="468"/>
      <c r="B72" s="609" t="s">
        <v>292</v>
      </c>
      <c r="C72" s="346">
        <v>0.33038999999999996</v>
      </c>
      <c r="D72" s="346">
        <v>1.52352</v>
      </c>
      <c r="E72" s="468">
        <v>19.39</v>
      </c>
      <c r="F72" s="472">
        <f t="shared" si="18"/>
        <v>0.29541052800000001</v>
      </c>
      <c r="G72" s="473">
        <f t="shared" si="19"/>
        <v>1.8539099999999999</v>
      </c>
      <c r="I72" s="609" t="s">
        <v>292</v>
      </c>
      <c r="J72" s="346">
        <v>69.301000000000002</v>
      </c>
      <c r="K72" s="346">
        <v>603.86300000000006</v>
      </c>
      <c r="L72" s="468">
        <v>19.579999999999998</v>
      </c>
      <c r="M72" s="472">
        <f t="shared" si="20"/>
        <v>118.2363754</v>
      </c>
      <c r="N72" s="473">
        <f t="shared" si="21"/>
        <v>673.1640000000001</v>
      </c>
      <c r="P72" s="609" t="s">
        <v>292</v>
      </c>
      <c r="Q72" s="346">
        <v>296.827</v>
      </c>
      <c r="R72" s="346">
        <v>1197.4659999999999</v>
      </c>
      <c r="S72" s="468">
        <v>25.53</v>
      </c>
      <c r="T72" s="472">
        <f t="shared" si="22"/>
        <v>305.71306979999997</v>
      </c>
      <c r="U72" s="473">
        <f t="shared" si="23"/>
        <v>1494.2929999999999</v>
      </c>
    </row>
    <row r="73" spans="1:22" x14ac:dyDescent="0.2">
      <c r="A73" s="468"/>
      <c r="B73" s="608" t="s">
        <v>293</v>
      </c>
      <c r="C73" s="346">
        <v>8.1170000000000006E-2</v>
      </c>
      <c r="D73" s="346">
        <v>2.5034200000000002</v>
      </c>
      <c r="E73" s="468">
        <v>16.96</v>
      </c>
      <c r="F73" s="472">
        <f t="shared" si="18"/>
        <v>0.42458003200000005</v>
      </c>
      <c r="G73" s="473">
        <f t="shared" si="19"/>
        <v>2.5845900000000004</v>
      </c>
      <c r="I73" s="608" t="s">
        <v>293</v>
      </c>
      <c r="J73" s="346">
        <v>15.005000000000001</v>
      </c>
      <c r="K73" s="346">
        <v>894.21600000000001</v>
      </c>
      <c r="L73" s="468">
        <v>18.600000000000001</v>
      </c>
      <c r="M73" s="472">
        <f t="shared" si="20"/>
        <v>166.32417599999999</v>
      </c>
      <c r="N73" s="473">
        <f t="shared" si="21"/>
        <v>909.221</v>
      </c>
      <c r="P73" s="608" t="s">
        <v>293</v>
      </c>
      <c r="Q73" s="346">
        <v>57.790999999999997</v>
      </c>
      <c r="R73" s="346">
        <v>1540.3689999999999</v>
      </c>
      <c r="S73" s="468">
        <v>24.32</v>
      </c>
      <c r="T73" s="472">
        <f t="shared" si="22"/>
        <v>374.61774079999998</v>
      </c>
      <c r="U73" s="473">
        <f t="shared" si="23"/>
        <v>1598.1599999999999</v>
      </c>
      <c r="V73" s="346"/>
    </row>
    <row r="74" spans="1:22" x14ac:dyDescent="0.2">
      <c r="B74" s="609" t="s">
        <v>294</v>
      </c>
      <c r="C74" s="346">
        <v>2.1596599999999997</v>
      </c>
      <c r="D74" s="346">
        <v>3.1237900000000001</v>
      </c>
      <c r="E74" s="468">
        <v>16.399999999999999</v>
      </c>
      <c r="F74" s="472">
        <f t="shared" si="18"/>
        <v>0.51230155999999993</v>
      </c>
      <c r="G74" s="473">
        <f t="shared" si="19"/>
        <v>5.2834500000000002</v>
      </c>
      <c r="H74" s="468"/>
      <c r="I74" s="609" t="s">
        <v>294</v>
      </c>
      <c r="J74" s="346">
        <v>392.97300000000001</v>
      </c>
      <c r="K74" s="346">
        <v>1134.7090000000001</v>
      </c>
      <c r="L74" s="468">
        <v>17.32</v>
      </c>
      <c r="M74" s="472">
        <f t="shared" si="20"/>
        <v>196.53159880000004</v>
      </c>
      <c r="N74" s="473">
        <f t="shared" si="21"/>
        <v>1527.682</v>
      </c>
      <c r="P74" s="609" t="s">
        <v>294</v>
      </c>
      <c r="Q74" s="346">
        <v>2081.08</v>
      </c>
      <c r="R74" s="346">
        <v>1719.979</v>
      </c>
      <c r="S74" s="468">
        <v>29.78</v>
      </c>
      <c r="T74" s="472">
        <f t="shared" si="22"/>
        <v>512.20974620000004</v>
      </c>
      <c r="U74" s="473">
        <f t="shared" si="23"/>
        <v>3801.0590000000002</v>
      </c>
      <c r="V74" s="346"/>
    </row>
    <row r="75" spans="1:22" x14ac:dyDescent="0.2">
      <c r="B75" s="608" t="s">
        <v>295</v>
      </c>
      <c r="C75" s="346">
        <v>0.44569999999999999</v>
      </c>
      <c r="D75" s="346">
        <v>2.2767300000000001</v>
      </c>
      <c r="E75" s="468">
        <v>18.86</v>
      </c>
      <c r="F75" s="472">
        <f t="shared" si="18"/>
        <v>0.42939127799999999</v>
      </c>
      <c r="G75" s="473">
        <f t="shared" si="19"/>
        <v>2.7224300000000001</v>
      </c>
      <c r="H75" s="468"/>
      <c r="I75" s="608" t="s">
        <v>295</v>
      </c>
      <c r="J75" s="346">
        <v>80.790999999999997</v>
      </c>
      <c r="K75" s="346">
        <v>1042.3920000000001</v>
      </c>
      <c r="L75" s="468">
        <v>19.45</v>
      </c>
      <c r="M75" s="472">
        <f t="shared" si="20"/>
        <v>202.74524400000001</v>
      </c>
      <c r="N75" s="473">
        <f t="shared" si="21"/>
        <v>1123.183</v>
      </c>
      <c r="P75" s="608" t="s">
        <v>295</v>
      </c>
      <c r="Q75" s="346">
        <v>451.92399999999998</v>
      </c>
      <c r="R75" s="346">
        <v>1498.3969999999999</v>
      </c>
      <c r="S75" s="468">
        <v>33.19</v>
      </c>
      <c r="T75" s="472">
        <f t="shared" si="22"/>
        <v>497.31796429999997</v>
      </c>
      <c r="U75" s="473">
        <f t="shared" si="23"/>
        <v>1950.3209999999999</v>
      </c>
    </row>
    <row r="76" spans="1:22" ht="13.5" thickBot="1" x14ac:dyDescent="0.25">
      <c r="B76" s="604" t="s">
        <v>296</v>
      </c>
      <c r="C76" s="352">
        <v>2.89046</v>
      </c>
      <c r="D76" s="352">
        <v>4.9429799999999995</v>
      </c>
      <c r="E76" s="469">
        <v>9.7100000000000009</v>
      </c>
      <c r="F76" s="474">
        <f t="shared" si="18"/>
        <v>0.47996335799999995</v>
      </c>
      <c r="G76" s="475">
        <f t="shared" si="19"/>
        <v>7.8334399999999995</v>
      </c>
      <c r="I76" s="604" t="s">
        <v>296</v>
      </c>
      <c r="J76" s="352">
        <v>465.63200000000001</v>
      </c>
      <c r="K76" s="352">
        <v>1591.922</v>
      </c>
      <c r="L76" s="469">
        <v>11.37</v>
      </c>
      <c r="M76" s="474">
        <f t="shared" si="20"/>
        <v>181.00153139999998</v>
      </c>
      <c r="N76" s="475">
        <f t="shared" si="21"/>
        <v>2057.5540000000001</v>
      </c>
      <c r="P76" s="604" t="s">
        <v>296</v>
      </c>
      <c r="Q76" s="352">
        <v>2908.7910000000002</v>
      </c>
      <c r="R76" s="352">
        <v>3994.3449999999998</v>
      </c>
      <c r="S76" s="469">
        <v>53.05</v>
      </c>
      <c r="T76" s="474">
        <f t="shared" si="22"/>
        <v>2119.0000224999999</v>
      </c>
      <c r="U76" s="475">
        <f t="shared" si="23"/>
        <v>6903.1360000000004</v>
      </c>
    </row>
    <row r="79" spans="1:22" ht="29.25" customHeight="1" x14ac:dyDescent="0.2">
      <c r="B79" s="1024" t="s">
        <v>725</v>
      </c>
      <c r="C79" s="1025"/>
      <c r="D79" s="1025"/>
      <c r="E79" s="1025"/>
      <c r="F79" s="1025"/>
      <c r="G79" s="1025"/>
      <c r="I79" s="1024" t="s">
        <v>724</v>
      </c>
      <c r="J79" s="1025"/>
      <c r="K79" s="1025"/>
      <c r="L79" s="1025"/>
      <c r="M79" s="1025"/>
      <c r="N79" s="1025"/>
      <c r="P79" s="1024" t="s">
        <v>723</v>
      </c>
      <c r="Q79" s="1025"/>
      <c r="R79" s="1025"/>
      <c r="S79" s="1025"/>
      <c r="T79" s="1025"/>
      <c r="U79" s="1025"/>
    </row>
    <row r="80" spans="1:22" ht="26.25" thickBot="1" x14ac:dyDescent="0.25">
      <c r="B80" s="614"/>
      <c r="C80" s="613" t="s">
        <v>648</v>
      </c>
      <c r="D80" s="613" t="s">
        <v>656</v>
      </c>
      <c r="E80" s="614" t="s">
        <v>93</v>
      </c>
      <c r="F80" s="614"/>
      <c r="G80" s="613"/>
      <c r="I80" s="614"/>
      <c r="J80" s="613" t="s">
        <v>648</v>
      </c>
      <c r="K80" s="613" t="s">
        <v>656</v>
      </c>
      <c r="L80" s="614" t="s">
        <v>93</v>
      </c>
      <c r="M80" s="614"/>
      <c r="N80" s="613"/>
      <c r="P80" s="614"/>
      <c r="Q80" s="613" t="s">
        <v>648</v>
      </c>
      <c r="R80" s="613" t="s">
        <v>656</v>
      </c>
      <c r="S80" s="614" t="s">
        <v>93</v>
      </c>
      <c r="T80" s="614"/>
      <c r="U80" s="613"/>
    </row>
    <row r="81" spans="2:21" x14ac:dyDescent="0.2">
      <c r="B81" s="612" t="s">
        <v>721</v>
      </c>
      <c r="C81" s="611">
        <f>G62</f>
        <v>40.242220000000003</v>
      </c>
      <c r="D81" s="611">
        <f>G24-G62</f>
        <v>264.82466999999997</v>
      </c>
      <c r="E81" s="611">
        <f>G43</f>
        <v>892.49155999999994</v>
      </c>
      <c r="F81" s="611"/>
      <c r="G81" s="610"/>
      <c r="I81" s="612" t="s">
        <v>721</v>
      </c>
      <c r="J81" s="611">
        <f>N62</f>
        <v>12456.003000000001</v>
      </c>
      <c r="K81" s="611">
        <f>N24-N62</f>
        <v>77539.513000000006</v>
      </c>
      <c r="L81" s="611">
        <f>N43</f>
        <v>177942.09700000001</v>
      </c>
      <c r="M81" s="611"/>
      <c r="N81" s="610"/>
      <c r="P81" s="612" t="s">
        <v>721</v>
      </c>
      <c r="Q81" s="611">
        <f>U62</f>
        <v>31731.709000000003</v>
      </c>
      <c r="R81" s="611">
        <f>U24-U62</f>
        <v>273473.35800000001</v>
      </c>
      <c r="S81" s="611">
        <f>U43</f>
        <v>1041478.706</v>
      </c>
      <c r="T81" s="611"/>
      <c r="U81" s="610"/>
    </row>
    <row r="82" spans="2:21" ht="15" customHeight="1" x14ac:dyDescent="0.2">
      <c r="B82" s="608" t="s">
        <v>286</v>
      </c>
      <c r="C82" s="606">
        <f t="shared" ref="C82:C95" si="24">G63</f>
        <v>5.1829499999999999</v>
      </c>
      <c r="D82" s="606">
        <f t="shared" ref="D82:D95" si="25">G25-G63</f>
        <v>26.092480000000002</v>
      </c>
      <c r="E82" s="607">
        <f t="shared" ref="E82:E95" si="26">G44</f>
        <v>44.848480000000002</v>
      </c>
      <c r="F82" s="606"/>
      <c r="G82" s="605"/>
      <c r="I82" s="608" t="s">
        <v>286</v>
      </c>
      <c r="J82" s="606">
        <f t="shared" ref="J82:J95" si="27">N63</f>
        <v>1580.9769999999999</v>
      </c>
      <c r="K82" s="606">
        <f t="shared" ref="K82:K95" si="28">N25-N63</f>
        <v>7257.7040000000006</v>
      </c>
      <c r="L82" s="607">
        <f t="shared" ref="L82:L96" si="29">N44</f>
        <v>7725.7210000000005</v>
      </c>
      <c r="M82" s="606"/>
      <c r="N82" s="605"/>
      <c r="P82" s="608" t="s">
        <v>286</v>
      </c>
      <c r="Q82" s="606">
        <f t="shared" ref="Q82:Q95" si="30">U63</f>
        <v>4480.5569999999998</v>
      </c>
      <c r="R82" s="606">
        <f t="shared" ref="R82:R95" si="31">U25-U63</f>
        <v>34654.054000000004</v>
      </c>
      <c r="S82" s="607">
        <f t="shared" ref="S82:S95" si="32">U44</f>
        <v>49491.281999999999</v>
      </c>
      <c r="T82" s="606"/>
      <c r="U82" s="605"/>
    </row>
    <row r="83" spans="2:21" x14ac:dyDescent="0.2">
      <c r="B83" s="609" t="s">
        <v>307</v>
      </c>
      <c r="C83" s="606">
        <f t="shared" si="24"/>
        <v>3.2607299999999997</v>
      </c>
      <c r="D83" s="606">
        <f t="shared" si="25"/>
        <v>21.539290000000005</v>
      </c>
      <c r="E83" s="607">
        <f t="shared" si="26"/>
        <v>81.728650000000002</v>
      </c>
      <c r="F83" s="606"/>
      <c r="G83" s="605"/>
      <c r="I83" s="609" t="s">
        <v>307</v>
      </c>
      <c r="J83" s="606">
        <f t="shared" si="27"/>
        <v>1072.9459999999999</v>
      </c>
      <c r="K83" s="606">
        <f t="shared" si="28"/>
        <v>7178.5069999999996</v>
      </c>
      <c r="L83" s="607">
        <f t="shared" si="29"/>
        <v>17451.120000000003</v>
      </c>
      <c r="M83" s="606"/>
      <c r="N83" s="605"/>
      <c r="P83" s="609" t="s">
        <v>307</v>
      </c>
      <c r="Q83" s="606">
        <f t="shared" si="30"/>
        <v>2477.5549999999998</v>
      </c>
      <c r="R83" s="606">
        <f t="shared" si="31"/>
        <v>20637.886999999999</v>
      </c>
      <c r="S83" s="607">
        <f t="shared" si="32"/>
        <v>101036.16800000001</v>
      </c>
      <c r="T83" s="606"/>
      <c r="U83" s="605"/>
    </row>
    <row r="84" spans="2:21" x14ac:dyDescent="0.2">
      <c r="B84" s="608" t="s">
        <v>287</v>
      </c>
      <c r="C84" s="606">
        <f t="shared" si="24"/>
        <v>1.93594</v>
      </c>
      <c r="D84" s="606">
        <f t="shared" si="25"/>
        <v>31.394210000000005</v>
      </c>
      <c r="E84" s="607">
        <f t="shared" si="26"/>
        <v>90.858959999999996</v>
      </c>
      <c r="F84" s="606"/>
      <c r="G84" s="605"/>
      <c r="I84" s="608" t="s">
        <v>287</v>
      </c>
      <c r="J84" s="606">
        <f t="shared" si="27"/>
        <v>481.00100000000003</v>
      </c>
      <c r="K84" s="606">
        <f t="shared" si="28"/>
        <v>6981.2559999999994</v>
      </c>
      <c r="L84" s="607">
        <f t="shared" si="29"/>
        <v>16181.21</v>
      </c>
      <c r="M84" s="606"/>
      <c r="N84" s="605"/>
      <c r="P84" s="608" t="s">
        <v>287</v>
      </c>
      <c r="Q84" s="606">
        <f t="shared" si="30"/>
        <v>1123.123</v>
      </c>
      <c r="R84" s="606">
        <f t="shared" si="31"/>
        <v>28219.214</v>
      </c>
      <c r="S84" s="607">
        <f t="shared" si="32"/>
        <v>99653.861000000004</v>
      </c>
      <c r="T84" s="606"/>
      <c r="U84" s="605"/>
    </row>
    <row r="85" spans="2:21" x14ac:dyDescent="0.2">
      <c r="B85" s="609" t="s">
        <v>288</v>
      </c>
      <c r="C85" s="606">
        <f t="shared" si="24"/>
        <v>1.5435300000000001</v>
      </c>
      <c r="D85" s="606">
        <f t="shared" si="25"/>
        <v>10.56324</v>
      </c>
      <c r="E85" s="607">
        <f t="shared" si="26"/>
        <v>39.05968</v>
      </c>
      <c r="F85" s="606"/>
      <c r="G85" s="605"/>
      <c r="I85" s="609" t="s">
        <v>288</v>
      </c>
      <c r="J85" s="606">
        <f t="shared" si="27"/>
        <v>487.82299999999998</v>
      </c>
      <c r="K85" s="606">
        <f t="shared" si="28"/>
        <v>3011.797</v>
      </c>
      <c r="L85" s="607">
        <f t="shared" si="29"/>
        <v>6148.63</v>
      </c>
      <c r="M85" s="606"/>
      <c r="N85" s="605"/>
      <c r="P85" s="609" t="s">
        <v>288</v>
      </c>
      <c r="Q85" s="606">
        <f t="shared" si="30"/>
        <v>793.721</v>
      </c>
      <c r="R85" s="606">
        <f t="shared" si="31"/>
        <v>8484.33</v>
      </c>
      <c r="S85" s="607">
        <f t="shared" si="32"/>
        <v>41422.396000000001</v>
      </c>
      <c r="T85" s="606"/>
      <c r="U85" s="605"/>
    </row>
    <row r="86" spans="2:21" x14ac:dyDescent="0.2">
      <c r="B86" s="608" t="s">
        <v>305</v>
      </c>
      <c r="C86" s="606">
        <f t="shared" si="24"/>
        <v>0.80657000000000001</v>
      </c>
      <c r="D86" s="606">
        <f t="shared" si="25"/>
        <v>1.8416199999999996</v>
      </c>
      <c r="E86" s="607">
        <f t="shared" si="26"/>
        <v>24.24953</v>
      </c>
      <c r="F86" s="606"/>
      <c r="G86" s="605"/>
      <c r="I86" s="608" t="s">
        <v>305</v>
      </c>
      <c r="J86" s="606">
        <f t="shared" si="27"/>
        <v>191.54999999999998</v>
      </c>
      <c r="K86" s="606">
        <f t="shared" si="28"/>
        <v>537.68399999999997</v>
      </c>
      <c r="L86" s="607">
        <f t="shared" si="29"/>
        <v>4046.2580000000003</v>
      </c>
      <c r="M86" s="606"/>
      <c r="N86" s="605"/>
      <c r="P86" s="608" t="s">
        <v>305</v>
      </c>
      <c r="Q86" s="606">
        <f t="shared" si="30"/>
        <v>530.38400000000001</v>
      </c>
      <c r="R86" s="606">
        <f t="shared" si="31"/>
        <v>1613.4139999999998</v>
      </c>
      <c r="S86" s="607">
        <f t="shared" si="32"/>
        <v>21688.277999999998</v>
      </c>
      <c r="T86" s="606"/>
      <c r="U86" s="605"/>
    </row>
    <row r="87" spans="2:21" x14ac:dyDescent="0.2">
      <c r="B87" s="609" t="s">
        <v>289</v>
      </c>
      <c r="C87" s="606">
        <f t="shared" si="24"/>
        <v>0.91835999999999995</v>
      </c>
      <c r="D87" s="606">
        <f t="shared" si="25"/>
        <v>2.2010400000000003</v>
      </c>
      <c r="E87" s="607">
        <f t="shared" si="26"/>
        <v>30.066469999999999</v>
      </c>
      <c r="F87" s="606"/>
      <c r="G87" s="605"/>
      <c r="I87" s="609" t="s">
        <v>289</v>
      </c>
      <c r="J87" s="606">
        <f t="shared" si="27"/>
        <v>323.88099999999997</v>
      </c>
      <c r="K87" s="606">
        <f t="shared" si="28"/>
        <v>652.07100000000003</v>
      </c>
      <c r="L87" s="607">
        <f t="shared" si="29"/>
        <v>5489.2429999999995</v>
      </c>
      <c r="M87" s="606"/>
      <c r="N87" s="605"/>
      <c r="P87" s="609" t="s">
        <v>289</v>
      </c>
      <c r="Q87" s="606">
        <f t="shared" si="30"/>
        <v>577.06799999999998</v>
      </c>
      <c r="R87" s="606">
        <f t="shared" si="31"/>
        <v>1626.0960000000002</v>
      </c>
      <c r="S87" s="607">
        <f t="shared" si="32"/>
        <v>27971.547999999999</v>
      </c>
      <c r="T87" s="606"/>
      <c r="U87" s="605"/>
    </row>
    <row r="88" spans="2:21" x14ac:dyDescent="0.2">
      <c r="B88" s="608" t="s">
        <v>306</v>
      </c>
      <c r="C88" s="606">
        <f t="shared" si="24"/>
        <v>1.4540599999999999</v>
      </c>
      <c r="D88" s="606">
        <f t="shared" si="25"/>
        <v>8.7904400000000003</v>
      </c>
      <c r="E88" s="607">
        <f t="shared" si="26"/>
        <v>86.336109999999991</v>
      </c>
      <c r="F88" s="606"/>
      <c r="G88" s="605"/>
      <c r="I88" s="608" t="s">
        <v>306</v>
      </c>
      <c r="J88" s="606">
        <f t="shared" si="27"/>
        <v>487.53100000000001</v>
      </c>
      <c r="K88" s="606">
        <f t="shared" si="28"/>
        <v>2871.509</v>
      </c>
      <c r="L88" s="607">
        <f t="shared" si="29"/>
        <v>17221.775000000001</v>
      </c>
      <c r="M88" s="606"/>
      <c r="N88" s="605"/>
      <c r="P88" s="608" t="s">
        <v>306</v>
      </c>
      <c r="Q88" s="606">
        <f t="shared" si="30"/>
        <v>1383.7829999999999</v>
      </c>
      <c r="R88" s="606">
        <f t="shared" si="31"/>
        <v>8040.1759999999995</v>
      </c>
      <c r="S88" s="607">
        <f t="shared" si="32"/>
        <v>125248.374</v>
      </c>
      <c r="T88" s="606"/>
      <c r="U88" s="605"/>
    </row>
    <row r="89" spans="2:21" x14ac:dyDescent="0.2">
      <c r="B89" s="609" t="s">
        <v>290</v>
      </c>
      <c r="C89" s="606">
        <f t="shared" si="24"/>
        <v>0.72938999999999998</v>
      </c>
      <c r="D89" s="606">
        <f t="shared" si="25"/>
        <v>7.3774499999999996</v>
      </c>
      <c r="E89" s="607">
        <f t="shared" si="26"/>
        <v>38.75761</v>
      </c>
      <c r="F89" s="606"/>
      <c r="G89" s="605"/>
      <c r="I89" s="609" t="s">
        <v>290</v>
      </c>
      <c r="J89" s="606">
        <f t="shared" si="27"/>
        <v>194.00700000000001</v>
      </c>
      <c r="K89" s="606">
        <f t="shared" si="28"/>
        <v>1669.3829999999998</v>
      </c>
      <c r="L89" s="607">
        <f t="shared" si="29"/>
        <v>7404.7919999999995</v>
      </c>
      <c r="M89" s="606"/>
      <c r="N89" s="605"/>
      <c r="P89" s="609" t="s">
        <v>290</v>
      </c>
      <c r="Q89" s="606">
        <f t="shared" si="30"/>
        <v>529.28800000000001</v>
      </c>
      <c r="R89" s="606">
        <f t="shared" si="31"/>
        <v>5970.6530000000002</v>
      </c>
      <c r="S89" s="607">
        <f t="shared" si="32"/>
        <v>46181.748999999996</v>
      </c>
      <c r="T89" s="606"/>
      <c r="U89" s="605"/>
    </row>
    <row r="90" spans="2:21" x14ac:dyDescent="0.2">
      <c r="B90" s="608" t="s">
        <v>291</v>
      </c>
      <c r="C90" s="606">
        <f t="shared" si="24"/>
        <v>4.1328699999999996</v>
      </c>
      <c r="D90" s="606">
        <f t="shared" si="25"/>
        <v>57.216140000000003</v>
      </c>
      <c r="E90" s="607">
        <f t="shared" si="26"/>
        <v>38.881959999999999</v>
      </c>
      <c r="F90" s="606"/>
      <c r="G90" s="605"/>
      <c r="I90" s="608" t="s">
        <v>291</v>
      </c>
      <c r="J90" s="606">
        <f t="shared" si="27"/>
        <v>1345.4829999999999</v>
      </c>
      <c r="K90" s="606">
        <f t="shared" si="28"/>
        <v>13476.484</v>
      </c>
      <c r="L90" s="607">
        <f t="shared" si="29"/>
        <v>5556.7159999999994</v>
      </c>
      <c r="M90" s="606"/>
      <c r="N90" s="605"/>
      <c r="P90" s="608" t="s">
        <v>291</v>
      </c>
      <c r="Q90" s="606">
        <f t="shared" si="30"/>
        <v>4089.261</v>
      </c>
      <c r="R90" s="606">
        <f t="shared" si="31"/>
        <v>82088.078999999998</v>
      </c>
      <c r="S90" s="607">
        <f t="shared" si="32"/>
        <v>50374.337</v>
      </c>
      <c r="T90" s="606"/>
      <c r="U90" s="605"/>
    </row>
    <row r="91" spans="2:21" x14ac:dyDescent="0.2">
      <c r="B91" s="609" t="s">
        <v>292</v>
      </c>
      <c r="C91" s="606">
        <f t="shared" si="24"/>
        <v>1.8539099999999999</v>
      </c>
      <c r="D91" s="606">
        <f t="shared" si="25"/>
        <v>18.942999999999998</v>
      </c>
      <c r="E91" s="607">
        <f t="shared" si="26"/>
        <v>93.393150000000006</v>
      </c>
      <c r="F91" s="606"/>
      <c r="G91" s="605"/>
      <c r="I91" s="609" t="s">
        <v>292</v>
      </c>
      <c r="J91" s="606">
        <f t="shared" si="27"/>
        <v>673.1640000000001</v>
      </c>
      <c r="K91" s="606">
        <f t="shared" si="28"/>
        <v>6223.0919999999996</v>
      </c>
      <c r="L91" s="607">
        <f t="shared" si="29"/>
        <v>21854.725999999999</v>
      </c>
      <c r="M91" s="606"/>
      <c r="N91" s="605"/>
      <c r="P91" s="609" t="s">
        <v>292</v>
      </c>
      <c r="Q91" s="606">
        <f t="shared" si="30"/>
        <v>1494.2929999999999</v>
      </c>
      <c r="R91" s="606">
        <f t="shared" si="31"/>
        <v>16767.270999999997</v>
      </c>
      <c r="S91" s="607">
        <f t="shared" si="32"/>
        <v>108875.016</v>
      </c>
      <c r="T91" s="606"/>
      <c r="U91" s="605"/>
    </row>
    <row r="92" spans="2:21" x14ac:dyDescent="0.2">
      <c r="B92" s="608" t="s">
        <v>293</v>
      </c>
      <c r="C92" s="606">
        <f t="shared" si="24"/>
        <v>2.5845900000000004</v>
      </c>
      <c r="D92" s="606">
        <f t="shared" si="25"/>
        <v>12.561449999999999</v>
      </c>
      <c r="E92" s="607">
        <f t="shared" si="26"/>
        <v>73.585939999999994</v>
      </c>
      <c r="F92" s="606"/>
      <c r="G92" s="605"/>
      <c r="I92" s="608" t="s">
        <v>293</v>
      </c>
      <c r="J92" s="606">
        <f t="shared" si="27"/>
        <v>909.221</v>
      </c>
      <c r="K92" s="606">
        <f t="shared" si="28"/>
        <v>4499.2340000000004</v>
      </c>
      <c r="L92" s="607">
        <f t="shared" si="29"/>
        <v>16691.351999999999</v>
      </c>
      <c r="M92" s="606"/>
      <c r="N92" s="605"/>
      <c r="P92" s="608" t="s">
        <v>293</v>
      </c>
      <c r="Q92" s="606">
        <f t="shared" si="30"/>
        <v>1598.1599999999999</v>
      </c>
      <c r="R92" s="606">
        <f t="shared" si="31"/>
        <v>9612.4709999999995</v>
      </c>
      <c r="S92" s="607">
        <f t="shared" si="32"/>
        <v>82949.718999999997</v>
      </c>
      <c r="T92" s="606"/>
      <c r="U92" s="605"/>
    </row>
    <row r="93" spans="2:21" x14ac:dyDescent="0.2">
      <c r="B93" s="609" t="s">
        <v>294</v>
      </c>
      <c r="C93" s="606">
        <f t="shared" si="24"/>
        <v>5.2834500000000002</v>
      </c>
      <c r="D93" s="606">
        <f t="shared" si="25"/>
        <v>15.34051</v>
      </c>
      <c r="E93" s="607">
        <f t="shared" si="26"/>
        <v>80.404610000000005</v>
      </c>
      <c r="F93" s="606"/>
      <c r="G93" s="605"/>
      <c r="I93" s="609" t="s">
        <v>294</v>
      </c>
      <c r="J93" s="606">
        <f t="shared" si="27"/>
        <v>1527.682</v>
      </c>
      <c r="K93" s="606">
        <f t="shared" si="28"/>
        <v>6212.2760000000007</v>
      </c>
      <c r="L93" s="607">
        <f t="shared" si="29"/>
        <v>17864.198</v>
      </c>
      <c r="M93" s="606"/>
      <c r="N93" s="605"/>
      <c r="P93" s="609" t="s">
        <v>294</v>
      </c>
      <c r="Q93" s="606">
        <f t="shared" si="30"/>
        <v>3801.0590000000002</v>
      </c>
      <c r="R93" s="606">
        <f t="shared" si="31"/>
        <v>11436.094999999998</v>
      </c>
      <c r="S93" s="607">
        <f t="shared" si="32"/>
        <v>90018.031000000003</v>
      </c>
      <c r="T93" s="606"/>
      <c r="U93" s="605"/>
    </row>
    <row r="94" spans="2:21" x14ac:dyDescent="0.2">
      <c r="B94" s="608" t="s">
        <v>295</v>
      </c>
      <c r="C94" s="606">
        <f t="shared" si="24"/>
        <v>2.7224300000000001</v>
      </c>
      <c r="D94" s="606">
        <f t="shared" si="25"/>
        <v>27.35651</v>
      </c>
      <c r="E94" s="607">
        <f t="shared" si="26"/>
        <v>100.96449</v>
      </c>
      <c r="F94" s="606"/>
      <c r="G94" s="605"/>
      <c r="I94" s="608" t="s">
        <v>295</v>
      </c>
      <c r="J94" s="606">
        <f t="shared" si="27"/>
        <v>1123.183</v>
      </c>
      <c r="K94" s="606">
        <f t="shared" si="28"/>
        <v>10641.667999999998</v>
      </c>
      <c r="L94" s="607">
        <f t="shared" si="29"/>
        <v>22718.856</v>
      </c>
      <c r="M94" s="606"/>
      <c r="N94" s="605"/>
      <c r="P94" s="608" t="s">
        <v>295</v>
      </c>
      <c r="Q94" s="606">
        <f t="shared" si="30"/>
        <v>1950.3209999999999</v>
      </c>
      <c r="R94" s="606">
        <f t="shared" si="31"/>
        <v>19632.528000000002</v>
      </c>
      <c r="S94" s="607">
        <f t="shared" si="32"/>
        <v>118195.003</v>
      </c>
      <c r="T94" s="606"/>
      <c r="U94" s="605"/>
    </row>
    <row r="95" spans="2:21" ht="13.5" thickBot="1" x14ac:dyDescent="0.25">
      <c r="B95" s="604" t="s">
        <v>296</v>
      </c>
      <c r="C95" s="602">
        <f t="shared" si="24"/>
        <v>7.8334399999999995</v>
      </c>
      <c r="D95" s="602">
        <f t="shared" si="25"/>
        <v>23.607289999999999</v>
      </c>
      <c r="E95" s="603">
        <f t="shared" si="26"/>
        <v>69.355919999999998</v>
      </c>
      <c r="F95" s="602"/>
      <c r="G95" s="601"/>
      <c r="I95" s="604" t="s">
        <v>296</v>
      </c>
      <c r="J95" s="602">
        <f t="shared" si="27"/>
        <v>2057.5540000000001</v>
      </c>
      <c r="K95" s="602">
        <f t="shared" si="28"/>
        <v>6326.848</v>
      </c>
      <c r="L95" s="603">
        <f t="shared" si="29"/>
        <v>11587.5</v>
      </c>
      <c r="M95" s="602"/>
      <c r="N95" s="601"/>
      <c r="P95" s="604" t="s">
        <v>296</v>
      </c>
      <c r="Q95" s="602">
        <f t="shared" si="30"/>
        <v>6903.1360000000004</v>
      </c>
      <c r="R95" s="602">
        <f t="shared" si="31"/>
        <v>24691.090000000004</v>
      </c>
      <c r="S95" s="603">
        <f t="shared" si="32"/>
        <v>78372.944000000003</v>
      </c>
      <c r="T95" s="602"/>
      <c r="U95" s="601"/>
    </row>
    <row r="96" spans="2:21" x14ac:dyDescent="0.2">
      <c r="L96" s="23">
        <f t="shared" si="29"/>
        <v>0</v>
      </c>
    </row>
  </sheetData>
  <mergeCells count="15">
    <mergeCell ref="B3:G3"/>
    <mergeCell ref="I3:N3"/>
    <mergeCell ref="P3:U3"/>
    <mergeCell ref="B22:G22"/>
    <mergeCell ref="I22:N22"/>
    <mergeCell ref="P22:U22"/>
    <mergeCell ref="B79:G79"/>
    <mergeCell ref="I79:N79"/>
    <mergeCell ref="P79:U79"/>
    <mergeCell ref="B41:G41"/>
    <mergeCell ref="I41:N41"/>
    <mergeCell ref="P41:U41"/>
    <mergeCell ref="B60:G60"/>
    <mergeCell ref="I60:N60"/>
    <mergeCell ref="P60:U6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2:G18"/>
  <sheetViews>
    <sheetView workbookViewId="0"/>
  </sheetViews>
  <sheetFormatPr defaultRowHeight="12.75" x14ac:dyDescent="0.2"/>
  <cols>
    <col min="2" max="2" width="5.625" bestFit="1" customWidth="1"/>
    <col min="3" max="3" width="39.125" bestFit="1" customWidth="1"/>
    <col min="4" max="7" width="20.625" customWidth="1"/>
  </cols>
  <sheetData>
    <row r="2" spans="2:7" ht="13.5" thickBot="1" x14ac:dyDescent="0.25"/>
    <row r="3" spans="2:7" ht="38.25" x14ac:dyDescent="0.2">
      <c r="B3" s="566"/>
      <c r="C3" s="567"/>
      <c r="D3" s="568" t="s">
        <v>715</v>
      </c>
      <c r="E3" s="569" t="s">
        <v>716</v>
      </c>
      <c r="F3" s="569" t="s">
        <v>717</v>
      </c>
      <c r="G3" s="570" t="s">
        <v>718</v>
      </c>
    </row>
    <row r="4" spans="2:7" x14ac:dyDescent="0.2">
      <c r="B4" s="571"/>
      <c r="C4" s="572" t="s">
        <v>721</v>
      </c>
      <c r="D4" s="573">
        <f>SUM(D5:D18)</f>
        <v>3830</v>
      </c>
      <c r="E4" s="573">
        <f t="shared" ref="E4:F4" si="0">SUM(E5:E18)</f>
        <v>3735</v>
      </c>
      <c r="F4" s="573">
        <f t="shared" si="0"/>
        <v>2183</v>
      </c>
      <c r="G4" s="574">
        <f>SUM(G5:G18)</f>
        <v>3482</v>
      </c>
    </row>
    <row r="5" spans="2:7" x14ac:dyDescent="0.2">
      <c r="B5" s="575" t="s">
        <v>313</v>
      </c>
      <c r="C5" s="576" t="s">
        <v>286</v>
      </c>
      <c r="D5" s="577">
        <v>284</v>
      </c>
      <c r="E5" s="577">
        <v>277</v>
      </c>
      <c r="F5" s="577">
        <v>191</v>
      </c>
      <c r="G5" s="578">
        <v>243</v>
      </c>
    </row>
    <row r="6" spans="2:7" x14ac:dyDescent="0.2">
      <c r="B6" s="575" t="s">
        <v>325</v>
      </c>
      <c r="C6" s="576" t="s">
        <v>307</v>
      </c>
      <c r="D6" s="577">
        <v>321</v>
      </c>
      <c r="E6" s="577">
        <v>318</v>
      </c>
      <c r="F6" s="577">
        <v>169</v>
      </c>
      <c r="G6" s="578">
        <v>304</v>
      </c>
    </row>
    <row r="7" spans="2:7" x14ac:dyDescent="0.2">
      <c r="B7" s="575" t="s">
        <v>319</v>
      </c>
      <c r="C7" s="576" t="s">
        <v>287</v>
      </c>
      <c r="D7" s="577">
        <v>362</v>
      </c>
      <c r="E7" s="577">
        <v>352</v>
      </c>
      <c r="F7" s="577">
        <v>189</v>
      </c>
      <c r="G7" s="578">
        <v>326</v>
      </c>
    </row>
    <row r="8" spans="2:7" x14ac:dyDescent="0.2">
      <c r="B8" s="575" t="s">
        <v>317</v>
      </c>
      <c r="C8" s="576" t="s">
        <v>288</v>
      </c>
      <c r="D8" s="577">
        <v>150</v>
      </c>
      <c r="E8" s="577">
        <v>146</v>
      </c>
      <c r="F8" s="577">
        <v>68</v>
      </c>
      <c r="G8" s="578">
        <v>141</v>
      </c>
    </row>
    <row r="9" spans="2:7" x14ac:dyDescent="0.2">
      <c r="B9" s="575" t="s">
        <v>315</v>
      </c>
      <c r="C9" s="576" t="s">
        <v>305</v>
      </c>
      <c r="D9" s="577">
        <v>68</v>
      </c>
      <c r="E9" s="577">
        <v>67</v>
      </c>
      <c r="F9" s="577">
        <v>28</v>
      </c>
      <c r="G9" s="578">
        <v>61</v>
      </c>
    </row>
    <row r="10" spans="2:7" x14ac:dyDescent="0.2">
      <c r="B10" s="575" t="s">
        <v>320</v>
      </c>
      <c r="C10" s="576" t="s">
        <v>289</v>
      </c>
      <c r="D10" s="577">
        <v>105</v>
      </c>
      <c r="E10" s="577">
        <v>104</v>
      </c>
      <c r="F10" s="577">
        <v>59</v>
      </c>
      <c r="G10" s="578">
        <v>102</v>
      </c>
    </row>
    <row r="11" spans="2:7" x14ac:dyDescent="0.2">
      <c r="B11" s="575" t="s">
        <v>321</v>
      </c>
      <c r="C11" s="576" t="s">
        <v>306</v>
      </c>
      <c r="D11" s="577">
        <v>281</v>
      </c>
      <c r="E11" s="577">
        <v>273</v>
      </c>
      <c r="F11" s="577">
        <v>154</v>
      </c>
      <c r="G11" s="578">
        <v>265</v>
      </c>
    </row>
    <row r="12" spans="2:7" x14ac:dyDescent="0.2">
      <c r="B12" s="575" t="s">
        <v>318</v>
      </c>
      <c r="C12" s="576" t="s">
        <v>290</v>
      </c>
      <c r="D12" s="577">
        <v>171</v>
      </c>
      <c r="E12" s="577">
        <v>170</v>
      </c>
      <c r="F12" s="577">
        <v>80</v>
      </c>
      <c r="G12" s="578">
        <v>164</v>
      </c>
    </row>
    <row r="13" spans="2:7" x14ac:dyDescent="0.2">
      <c r="B13" s="575" t="s">
        <v>312</v>
      </c>
      <c r="C13" s="576" t="s">
        <v>291</v>
      </c>
      <c r="D13" s="577">
        <v>186</v>
      </c>
      <c r="E13" s="577">
        <v>160</v>
      </c>
      <c r="F13" s="577">
        <v>125</v>
      </c>
      <c r="G13" s="578">
        <v>128</v>
      </c>
    </row>
    <row r="14" spans="2:7" x14ac:dyDescent="0.2">
      <c r="B14" s="575" t="s">
        <v>322</v>
      </c>
      <c r="C14" s="576" t="s">
        <v>292</v>
      </c>
      <c r="D14" s="577">
        <v>374</v>
      </c>
      <c r="E14" s="577">
        <v>369</v>
      </c>
      <c r="F14" s="577">
        <v>225</v>
      </c>
      <c r="G14" s="578">
        <v>352</v>
      </c>
    </row>
    <row r="15" spans="2:7" x14ac:dyDescent="0.2">
      <c r="B15" s="575" t="s">
        <v>323</v>
      </c>
      <c r="C15" s="576" t="s">
        <v>293</v>
      </c>
      <c r="D15" s="577">
        <v>361</v>
      </c>
      <c r="E15" s="577">
        <v>354</v>
      </c>
      <c r="F15" s="577">
        <v>227</v>
      </c>
      <c r="G15" s="578">
        <v>345</v>
      </c>
    </row>
    <row r="16" spans="2:7" x14ac:dyDescent="0.2">
      <c r="B16" s="575" t="s">
        <v>324</v>
      </c>
      <c r="C16" s="576" t="s">
        <v>294</v>
      </c>
      <c r="D16" s="577">
        <v>311</v>
      </c>
      <c r="E16" s="577">
        <v>310</v>
      </c>
      <c r="F16" s="577">
        <v>174</v>
      </c>
      <c r="G16" s="578">
        <v>295</v>
      </c>
    </row>
    <row r="17" spans="2:7" x14ac:dyDescent="0.2">
      <c r="B17" s="575" t="s">
        <v>316</v>
      </c>
      <c r="C17" s="576" t="s">
        <v>295</v>
      </c>
      <c r="D17" s="577">
        <v>338</v>
      </c>
      <c r="E17" s="577">
        <v>322</v>
      </c>
      <c r="F17" s="577">
        <v>205</v>
      </c>
      <c r="G17" s="578">
        <v>299</v>
      </c>
    </row>
    <row r="18" spans="2:7" ht="13.5" thickBot="1" x14ac:dyDescent="0.25">
      <c r="B18" s="579" t="s">
        <v>314</v>
      </c>
      <c r="C18" s="580" t="s">
        <v>296</v>
      </c>
      <c r="D18" s="581">
        <v>518</v>
      </c>
      <c r="E18" s="581">
        <v>513</v>
      </c>
      <c r="F18" s="581">
        <v>289</v>
      </c>
      <c r="G18" s="582">
        <v>457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L576"/>
  <sheetViews>
    <sheetView zoomScale="85" zoomScaleNormal="85" workbookViewId="0"/>
  </sheetViews>
  <sheetFormatPr defaultRowHeight="12.75" x14ac:dyDescent="0.2"/>
  <cols>
    <col min="1" max="1" width="9" style="772"/>
    <col min="2" max="4" width="30.625" style="772" customWidth="1"/>
    <col min="5" max="5" width="21.125" style="772" customWidth="1"/>
    <col min="6" max="6" width="28.125" style="772" bestFit="1" customWidth="1"/>
    <col min="7" max="7" width="25.875" style="772" bestFit="1" customWidth="1"/>
    <col min="8" max="16384" width="9" style="772"/>
  </cols>
  <sheetData>
    <row r="1" spans="2:9" x14ac:dyDescent="0.2">
      <c r="B1" s="771"/>
    </row>
    <row r="2" spans="2:9" x14ac:dyDescent="0.2">
      <c r="B2" s="771"/>
      <c r="D2" s="773"/>
    </row>
    <row r="3" spans="2:9" x14ac:dyDescent="0.2">
      <c r="B3" s="359" t="s">
        <v>500</v>
      </c>
      <c r="C3" s="544">
        <f>SUM(C4:C7)</f>
        <v>25698.761489000004</v>
      </c>
    </row>
    <row r="4" spans="2:9" x14ac:dyDescent="0.2">
      <c r="B4" s="359" t="s">
        <v>501</v>
      </c>
      <c r="C4" s="360">
        <v>10620.134056000003</v>
      </c>
    </row>
    <row r="5" spans="2:9" x14ac:dyDescent="0.2">
      <c r="B5" s="359" t="s">
        <v>20</v>
      </c>
      <c r="C5" s="360">
        <v>2030.7181329999999</v>
      </c>
    </row>
    <row r="6" spans="2:9" x14ac:dyDescent="0.2">
      <c r="B6" s="359" t="s">
        <v>502</v>
      </c>
      <c r="C6" s="360">
        <v>3319.3117509999993</v>
      </c>
    </row>
    <row r="7" spans="2:9" x14ac:dyDescent="0.2">
      <c r="B7" s="359" t="s">
        <v>503</v>
      </c>
      <c r="C7" s="360">
        <v>9728.5975490000001</v>
      </c>
    </row>
    <row r="8" spans="2:9" x14ac:dyDescent="0.2">
      <c r="B8" s="771"/>
      <c r="C8" s="774"/>
    </row>
    <row r="9" spans="2:9" x14ac:dyDescent="0.2">
      <c r="B9" s="771"/>
      <c r="C9" s="774"/>
    </row>
    <row r="10" spans="2:9" x14ac:dyDescent="0.2">
      <c r="B10" s="771" t="s">
        <v>504</v>
      </c>
      <c r="C10" s="774"/>
    </row>
    <row r="11" spans="2:9" x14ac:dyDescent="0.2">
      <c r="B11" s="771"/>
    </row>
    <row r="12" spans="2:9" x14ac:dyDescent="0.2">
      <c r="B12" s="362"/>
      <c r="C12" s="775" t="s">
        <v>505</v>
      </c>
      <c r="D12" s="776" t="s">
        <v>506</v>
      </c>
      <c r="E12" s="777" t="s">
        <v>2</v>
      </c>
    </row>
    <row r="13" spans="2:9" x14ac:dyDescent="0.2">
      <c r="B13" s="363" t="s">
        <v>501</v>
      </c>
      <c r="C13" s="778" t="s">
        <v>507</v>
      </c>
      <c r="D13" s="779">
        <v>4752.4870150000006</v>
      </c>
      <c r="E13" s="780">
        <f>IF(C$4=0,0,D13/C$4*100)</f>
        <v>44.749783665065998</v>
      </c>
    </row>
    <row r="14" spans="2:9" x14ac:dyDescent="0.2">
      <c r="B14" s="364"/>
      <c r="C14" s="771" t="s">
        <v>508</v>
      </c>
      <c r="D14" s="781">
        <v>834.62077299999999</v>
      </c>
      <c r="E14" s="782">
        <f>IF(C$4=0,0,D14/C$4*100)</f>
        <v>7.8588534626685673</v>
      </c>
    </row>
    <row r="15" spans="2:9" x14ac:dyDescent="0.2">
      <c r="B15" s="364"/>
      <c r="C15" s="771" t="s">
        <v>509</v>
      </c>
      <c r="D15" s="781">
        <v>4258.34148</v>
      </c>
      <c r="E15" s="782">
        <f>IF(C$4=0,0,D15/C$4*100)</f>
        <v>40.096871259305686</v>
      </c>
    </row>
    <row r="16" spans="2:9" s="773" customFormat="1" x14ac:dyDescent="0.2">
      <c r="B16" s="365"/>
      <c r="C16" s="783" t="s">
        <v>510</v>
      </c>
      <c r="D16" s="784">
        <v>774.68478799999991</v>
      </c>
      <c r="E16" s="785">
        <f>IF(C$4=0,0,D16/C$4*100)</f>
        <v>7.2944916129597273</v>
      </c>
      <c r="I16" s="772"/>
    </row>
    <row r="17" spans="2:5" x14ac:dyDescent="0.2">
      <c r="B17" s="366"/>
      <c r="C17" s="771"/>
      <c r="D17" s="781"/>
      <c r="E17" s="786"/>
    </row>
    <row r="18" spans="2:5" x14ac:dyDescent="0.2">
      <c r="B18" s="363" t="s">
        <v>20</v>
      </c>
      <c r="C18" s="778" t="s">
        <v>507</v>
      </c>
      <c r="D18" s="779">
        <v>542.09308799999997</v>
      </c>
      <c r="E18" s="780">
        <f>IF(C$5=0,0,D18/C$5*100)</f>
        <v>26.694649503087881</v>
      </c>
    </row>
    <row r="19" spans="2:5" x14ac:dyDescent="0.2">
      <c r="B19" s="364"/>
      <c r="C19" s="771" t="s">
        <v>508</v>
      </c>
      <c r="D19" s="781">
        <v>230.69734299999999</v>
      </c>
      <c r="E19" s="782">
        <f>IF(C$5=0,0,D19/C$5*100)</f>
        <v>11.360382283049224</v>
      </c>
    </row>
    <row r="20" spans="2:5" x14ac:dyDescent="0.2">
      <c r="B20" s="364"/>
      <c r="C20" s="771" t="s">
        <v>509</v>
      </c>
      <c r="D20" s="781">
        <v>990.54734499999995</v>
      </c>
      <c r="E20" s="782">
        <f>IF(C$5=0,0,D20/C$5*100)</f>
        <v>48.778179940544213</v>
      </c>
    </row>
    <row r="21" spans="2:5" x14ac:dyDescent="0.2">
      <c r="B21" s="365"/>
      <c r="C21" s="783" t="s">
        <v>510</v>
      </c>
      <c r="D21" s="784">
        <v>244.85854800000004</v>
      </c>
      <c r="E21" s="785">
        <f>IF(C$5=0,0,D21/C$5*100)</f>
        <v>12.057731894000872</v>
      </c>
    </row>
    <row r="22" spans="2:5" x14ac:dyDescent="0.2">
      <c r="B22" s="366"/>
      <c r="C22" s="771"/>
      <c r="D22" s="781"/>
      <c r="E22" s="786"/>
    </row>
    <row r="23" spans="2:5" x14ac:dyDescent="0.2">
      <c r="B23" s="363" t="s">
        <v>502</v>
      </c>
      <c r="C23" s="778" t="s">
        <v>507</v>
      </c>
      <c r="D23" s="779">
        <v>1473.8676049999999</v>
      </c>
      <c r="E23" s="780">
        <f>IF(C$6=0,0,D23/C$6*100)</f>
        <v>44.402807436088885</v>
      </c>
    </row>
    <row r="24" spans="2:5" x14ac:dyDescent="0.2">
      <c r="B24" s="364"/>
      <c r="C24" s="771" t="s">
        <v>508</v>
      </c>
      <c r="D24" s="781">
        <v>239.88764300000003</v>
      </c>
      <c r="E24" s="782">
        <f>IF(C$6=0,0,D24/C$6*100)</f>
        <v>7.227029607198836</v>
      </c>
    </row>
    <row r="25" spans="2:5" x14ac:dyDescent="0.2">
      <c r="B25" s="364"/>
      <c r="C25" s="771" t="s">
        <v>509</v>
      </c>
      <c r="D25" s="781">
        <v>1414.127174</v>
      </c>
      <c r="E25" s="782">
        <f>IF(C$6=0,0,D25/C$6*100)</f>
        <v>42.603023761596667</v>
      </c>
    </row>
    <row r="26" spans="2:5" x14ac:dyDescent="0.2">
      <c r="B26" s="365"/>
      <c r="C26" s="783" t="s">
        <v>510</v>
      </c>
      <c r="D26" s="784">
        <v>191.429329</v>
      </c>
      <c r="E26" s="785">
        <f>IF(C$6=0,0,D26/C$6*100)</f>
        <v>5.7671391951156341</v>
      </c>
    </row>
    <row r="27" spans="2:5" x14ac:dyDescent="0.2">
      <c r="B27" s="366"/>
      <c r="C27" s="771"/>
      <c r="D27" s="781"/>
      <c r="E27" s="786"/>
    </row>
    <row r="28" spans="2:5" x14ac:dyDescent="0.2">
      <c r="B28" s="787" t="s">
        <v>503</v>
      </c>
      <c r="C28" s="778" t="s">
        <v>507</v>
      </c>
      <c r="D28" s="779">
        <v>6894.3897129999996</v>
      </c>
      <c r="E28" s="780">
        <f>IF(C$7=0,0,D28/C$7*100)</f>
        <v>70.867251710999923</v>
      </c>
    </row>
    <row r="29" spans="2:5" x14ac:dyDescent="0.2">
      <c r="B29" s="364"/>
      <c r="C29" s="771" t="s">
        <v>508</v>
      </c>
      <c r="D29" s="781">
        <v>1416.1869409999999</v>
      </c>
      <c r="E29" s="782">
        <f>IF(C$7=0,0,D29/C$7*100)</f>
        <v>14.556948561877444</v>
      </c>
    </row>
    <row r="30" spans="2:5" x14ac:dyDescent="0.2">
      <c r="B30" s="364"/>
      <c r="C30" s="771" t="s">
        <v>509</v>
      </c>
      <c r="D30" s="781">
        <v>1251.8284490000001</v>
      </c>
      <c r="E30" s="782">
        <f>IF(C$7=0,0,D30/C$7*100)</f>
        <v>12.867511917261654</v>
      </c>
    </row>
    <row r="31" spans="2:5" x14ac:dyDescent="0.2">
      <c r="B31" s="365"/>
      <c r="C31" s="783" t="s">
        <v>510</v>
      </c>
      <c r="D31" s="784">
        <v>166.19244600000002</v>
      </c>
      <c r="E31" s="785">
        <f>IF(C$7=0,0,D31/C$7*100)</f>
        <v>1.7082878098609688</v>
      </c>
    </row>
    <row r="32" spans="2:5" x14ac:dyDescent="0.2">
      <c r="B32" s="771"/>
      <c r="D32" s="788"/>
      <c r="E32" s="789"/>
    </row>
    <row r="34" spans="2:7" x14ac:dyDescent="0.2">
      <c r="B34" s="774" t="s">
        <v>511</v>
      </c>
    </row>
    <row r="36" spans="2:7" ht="38.25" x14ac:dyDescent="0.2">
      <c r="B36" s="790"/>
      <c r="C36" s="791" t="s">
        <v>512</v>
      </c>
      <c r="D36" s="792" t="s">
        <v>513</v>
      </c>
      <c r="E36" s="792" t="s">
        <v>514</v>
      </c>
      <c r="F36" s="792" t="s">
        <v>515</v>
      </c>
      <c r="G36" s="793" t="s">
        <v>516</v>
      </c>
    </row>
    <row r="37" spans="2:7" x14ac:dyDescent="0.2">
      <c r="B37" s="794" t="s">
        <v>501</v>
      </c>
      <c r="C37" s="795" t="s">
        <v>517</v>
      </c>
      <c r="D37" s="779">
        <v>0</v>
      </c>
      <c r="E37" s="796">
        <f>IF($C$4=0,0,D37/$C$4*100)</f>
        <v>0</v>
      </c>
      <c r="F37" s="796">
        <f>IF(SUM($D$14:$D$16)=0,0,D37/SUM($D$14:D$16)*100)</f>
        <v>0</v>
      </c>
      <c r="G37" s="780">
        <f>IF($D$14=0,0,D37/$D$14*100)</f>
        <v>0</v>
      </c>
    </row>
    <row r="38" spans="2:7" x14ac:dyDescent="0.2">
      <c r="B38" s="797"/>
      <c r="C38" s="798" t="s">
        <v>987</v>
      </c>
      <c r="D38" s="781">
        <v>10.120025</v>
      </c>
      <c r="E38" s="799">
        <f t="shared" ref="E38:E68" si="0">IF($C$4=0,0,D38/$C$4*100)</f>
        <v>9.529093462132468E-2</v>
      </c>
      <c r="F38" s="799">
        <f>IF(SUM($D$14:$D$16)=0,0,D38/SUM($D$14:D$16)*100)</f>
        <v>0.17247160453392379</v>
      </c>
      <c r="G38" s="782">
        <f t="shared" ref="G38:G68" si="1">IF($D$14=0,0,D38/$D$14*100)</f>
        <v>1.2125297293552983</v>
      </c>
    </row>
    <row r="39" spans="2:7" x14ac:dyDescent="0.2">
      <c r="B39" s="797"/>
      <c r="C39" s="800" t="s">
        <v>518</v>
      </c>
      <c r="D39" s="781">
        <v>18.272131000000002</v>
      </c>
      <c r="E39" s="799">
        <f t="shared" si="0"/>
        <v>0.17205179241289228</v>
      </c>
      <c r="F39" s="799">
        <f>IF(SUM($D$14:$D$16)=0,0,D39/SUM($D$14:D$16)*100)</f>
        <v>0.31140473979303906</v>
      </c>
      <c r="G39" s="782">
        <f t="shared" si="1"/>
        <v>2.1892734510215694</v>
      </c>
    </row>
    <row r="40" spans="2:7" x14ac:dyDescent="0.2">
      <c r="B40" s="797"/>
      <c r="C40" s="800" t="s">
        <v>519</v>
      </c>
      <c r="D40" s="781">
        <v>82.912086000000016</v>
      </c>
      <c r="E40" s="799">
        <f t="shared" si="0"/>
        <v>0.78070658583784636</v>
      </c>
      <c r="F40" s="799">
        <f>IF(SUM($D$14:$D$16)=0,0,D40/SUM($D$14:D$16)*100)</f>
        <v>1.4130380614350935</v>
      </c>
      <c r="G40" s="782">
        <f t="shared" si="1"/>
        <v>9.9341028503252957</v>
      </c>
    </row>
    <row r="41" spans="2:7" x14ac:dyDescent="0.2">
      <c r="B41" s="797"/>
      <c r="C41" s="800" t="s">
        <v>520</v>
      </c>
      <c r="D41" s="781">
        <v>137.88257199999998</v>
      </c>
      <c r="E41" s="799">
        <f t="shared" si="0"/>
        <v>1.2983129146293702</v>
      </c>
      <c r="F41" s="799">
        <f>IF(SUM($D$14:$D$16)=0,0,D41/SUM($D$14:D$16)*100)</f>
        <v>2.3498784271881021</v>
      </c>
      <c r="G41" s="782">
        <f t="shared" si="1"/>
        <v>16.520385839953207</v>
      </c>
    </row>
    <row r="42" spans="2:7" x14ac:dyDescent="0.2">
      <c r="B42" s="797"/>
      <c r="C42" s="800" t="s">
        <v>521</v>
      </c>
      <c r="D42" s="781">
        <v>0</v>
      </c>
      <c r="E42" s="799">
        <f t="shared" si="0"/>
        <v>0</v>
      </c>
      <c r="F42" s="799">
        <f>IF(SUM($D$14:$D$16)=0,0,D42/SUM($D$14:D$16)*100)</f>
        <v>0</v>
      </c>
      <c r="G42" s="782">
        <f t="shared" si="1"/>
        <v>0</v>
      </c>
    </row>
    <row r="43" spans="2:7" x14ac:dyDescent="0.2">
      <c r="B43" s="797"/>
      <c r="C43" s="800" t="s">
        <v>522</v>
      </c>
      <c r="D43" s="781">
        <v>39.705478999999997</v>
      </c>
      <c r="E43" s="799">
        <f t="shared" si="0"/>
        <v>0.37386984750505853</v>
      </c>
      <c r="F43" s="799">
        <f>IF(SUM($D$14:$D$16)=0,0,D43/SUM($D$14:D$16)*100)</f>
        <v>0.67668485719333848</v>
      </c>
      <c r="G43" s="782">
        <f t="shared" si="1"/>
        <v>4.7573077839029532</v>
      </c>
    </row>
    <row r="44" spans="2:7" x14ac:dyDescent="0.2">
      <c r="B44" s="797"/>
      <c r="C44" s="800" t="s">
        <v>523</v>
      </c>
      <c r="D44" s="781">
        <v>0</v>
      </c>
      <c r="E44" s="799">
        <f t="shared" si="0"/>
        <v>0</v>
      </c>
      <c r="F44" s="799">
        <f>IF(SUM($D$14:$D$16)=0,0,D44/SUM($D$14:D$16)*100)</f>
        <v>0</v>
      </c>
      <c r="G44" s="782">
        <f t="shared" si="1"/>
        <v>0</v>
      </c>
    </row>
    <row r="45" spans="2:7" x14ac:dyDescent="0.2">
      <c r="B45" s="797"/>
      <c r="C45" s="800" t="s">
        <v>524</v>
      </c>
      <c r="D45" s="781">
        <v>0</v>
      </c>
      <c r="E45" s="799">
        <f t="shared" si="0"/>
        <v>0</v>
      </c>
      <c r="F45" s="799">
        <f>IF(SUM($D$14:$D$16)=0,0,D45/SUM($D$14:D$16)*100)</f>
        <v>0</v>
      </c>
      <c r="G45" s="782">
        <f t="shared" si="1"/>
        <v>0</v>
      </c>
    </row>
    <row r="46" spans="2:7" x14ac:dyDescent="0.2">
      <c r="B46" s="797"/>
      <c r="C46" s="800" t="s">
        <v>525</v>
      </c>
      <c r="D46" s="781">
        <v>53.290683999999999</v>
      </c>
      <c r="E46" s="799">
        <f t="shared" si="0"/>
        <v>0.5017891838181896</v>
      </c>
      <c r="F46" s="799">
        <f>IF(SUM($D$14:$D$16)=0,0,D46/SUM($D$14:D$16)*100)</f>
        <v>0.90821216115476977</v>
      </c>
      <c r="G46" s="782">
        <f>IF($D$14=0,0,D46/$D$14*100)</f>
        <v>6.3850176899443163</v>
      </c>
    </row>
    <row r="47" spans="2:7" x14ac:dyDescent="0.2">
      <c r="B47" s="797"/>
      <c r="C47" s="800" t="s">
        <v>526</v>
      </c>
      <c r="D47" s="781">
        <v>6.598827</v>
      </c>
      <c r="E47" s="799">
        <f t="shared" si="0"/>
        <v>6.2135063128246432E-2</v>
      </c>
      <c r="F47" s="799">
        <f>IF(SUM($D$14:$D$16)=0,0,D47/SUM($D$14:D$16)*100)</f>
        <v>0.11246121237168671</v>
      </c>
      <c r="G47" s="782">
        <f t="shared" si="1"/>
        <v>0.79063776190003843</v>
      </c>
    </row>
    <row r="48" spans="2:7" x14ac:dyDescent="0.2">
      <c r="B48" s="797"/>
      <c r="C48" s="800" t="s">
        <v>527</v>
      </c>
      <c r="D48" s="781">
        <v>0</v>
      </c>
      <c r="E48" s="799">
        <f t="shared" si="0"/>
        <v>0</v>
      </c>
      <c r="F48" s="799">
        <f>IF(SUM($D$14:$D$16)=0,0,D48/SUM($D$14:D$16)*100)</f>
        <v>0</v>
      </c>
      <c r="G48" s="782">
        <f t="shared" si="1"/>
        <v>0</v>
      </c>
    </row>
    <row r="49" spans="2:7" x14ac:dyDescent="0.2">
      <c r="B49" s="797"/>
      <c r="C49" s="801" t="s">
        <v>528</v>
      </c>
      <c r="D49" s="781">
        <v>0</v>
      </c>
      <c r="E49" s="799">
        <f t="shared" si="0"/>
        <v>0</v>
      </c>
      <c r="F49" s="799">
        <f>IF(SUM($D$14:$D$16)=0,0,D49/SUM($D$14:D$16)*100)</f>
        <v>0</v>
      </c>
      <c r="G49" s="782">
        <f t="shared" si="1"/>
        <v>0</v>
      </c>
    </row>
    <row r="50" spans="2:7" x14ac:dyDescent="0.2">
      <c r="B50" s="797"/>
      <c r="C50" s="801" t="s">
        <v>529</v>
      </c>
      <c r="D50" s="781">
        <v>1</v>
      </c>
      <c r="E50" s="799">
        <f t="shared" si="0"/>
        <v>9.416076997964401E-3</v>
      </c>
      <c r="F50" s="799">
        <f>IF(SUM($D$14:$D$16)=0,0,D50/SUM($D$14:D$16)*100)</f>
        <v>1.7042606568059247E-2</v>
      </c>
      <c r="G50" s="782">
        <f t="shared" si="1"/>
        <v>0.11981489466234505</v>
      </c>
    </row>
    <row r="51" spans="2:7" x14ac:dyDescent="0.2">
      <c r="B51" s="797"/>
      <c r="C51" s="801" t="s">
        <v>530</v>
      </c>
      <c r="D51" s="781">
        <v>0</v>
      </c>
      <c r="E51" s="799">
        <f t="shared" si="0"/>
        <v>0</v>
      </c>
      <c r="F51" s="799">
        <f>IF(SUM($D$14:$D$16)=0,0,D51/SUM($D$14:D$16)*100)</f>
        <v>0</v>
      </c>
      <c r="G51" s="782">
        <f t="shared" si="1"/>
        <v>0</v>
      </c>
    </row>
    <row r="52" spans="2:7" x14ac:dyDescent="0.2">
      <c r="B52" s="797"/>
      <c r="C52" s="801" t="s">
        <v>531</v>
      </c>
      <c r="D52" s="781">
        <v>0</v>
      </c>
      <c r="E52" s="799">
        <f t="shared" si="0"/>
        <v>0</v>
      </c>
      <c r="F52" s="799">
        <f>IF(SUM($D$14:$D$16)=0,0,D52/SUM($D$14:D$16)*100)</f>
        <v>0</v>
      </c>
      <c r="G52" s="782">
        <f t="shared" si="1"/>
        <v>0</v>
      </c>
    </row>
    <row r="53" spans="2:7" x14ac:dyDescent="0.2">
      <c r="B53" s="797"/>
      <c r="C53" s="801" t="s">
        <v>532</v>
      </c>
      <c r="D53" s="781">
        <v>182.22820099999998</v>
      </c>
      <c r="E53" s="799">
        <f t="shared" si="0"/>
        <v>1.715874771816533</v>
      </c>
      <c r="F53" s="799">
        <f>IF(SUM($D$14:$D$16)=0,0,D53/SUM($D$14:D$16)*100)</f>
        <v>3.1056435352482206</v>
      </c>
      <c r="G53" s="782">
        <f t="shared" si="1"/>
        <v>21.83365270732364</v>
      </c>
    </row>
    <row r="54" spans="2:7" x14ac:dyDescent="0.2">
      <c r="B54" s="797"/>
      <c r="C54" s="801" t="s">
        <v>533</v>
      </c>
      <c r="D54" s="781">
        <v>0</v>
      </c>
      <c r="E54" s="799">
        <f t="shared" si="0"/>
        <v>0</v>
      </c>
      <c r="F54" s="799">
        <f>IF(SUM($D$14:$D$16)=0,0,D54/SUM($D$14:D$16)*100)</f>
        <v>0</v>
      </c>
      <c r="G54" s="782">
        <f t="shared" si="1"/>
        <v>0</v>
      </c>
    </row>
    <row r="55" spans="2:7" x14ac:dyDescent="0.2">
      <c r="B55" s="797"/>
      <c r="C55" s="801" t="s">
        <v>534</v>
      </c>
      <c r="D55" s="781">
        <v>82.513905000000008</v>
      </c>
      <c r="E55" s="799">
        <f t="shared" si="0"/>
        <v>0.77695728288271981</v>
      </c>
      <c r="F55" s="799">
        <f>IF(SUM($D$14:$D$16)=0,0,D55/SUM($D$14:D$16)*100)</f>
        <v>1.4062520193092169</v>
      </c>
      <c r="G55" s="782">
        <f t="shared" si="1"/>
        <v>9.8863948357537481</v>
      </c>
    </row>
    <row r="56" spans="2:7" x14ac:dyDescent="0.2">
      <c r="B56" s="797"/>
      <c r="C56" s="801" t="s">
        <v>535</v>
      </c>
      <c r="D56" s="781">
        <v>0</v>
      </c>
      <c r="E56" s="799">
        <f t="shared" si="0"/>
        <v>0</v>
      </c>
      <c r="F56" s="799">
        <f>IF(SUM($D$14:$D$16)=0,0,D56/SUM($D$14:D$16)*100)</f>
        <v>0</v>
      </c>
      <c r="G56" s="782">
        <f t="shared" si="1"/>
        <v>0</v>
      </c>
    </row>
    <row r="57" spans="2:7" x14ac:dyDescent="0.2">
      <c r="B57" s="797"/>
      <c r="C57" s="801" t="s">
        <v>536</v>
      </c>
      <c r="D57" s="781">
        <v>1</v>
      </c>
      <c r="E57" s="799">
        <f t="shared" si="0"/>
        <v>9.416076997964401E-3</v>
      </c>
      <c r="F57" s="799">
        <f>IF(SUM($D$14:$D$16)=0,0,D57/SUM($D$14:D$16)*100)</f>
        <v>1.7042606568059247E-2</v>
      </c>
      <c r="G57" s="782">
        <f t="shared" si="1"/>
        <v>0.11981489466234505</v>
      </c>
    </row>
    <row r="58" spans="2:7" x14ac:dyDescent="0.2">
      <c r="B58" s="797"/>
      <c r="C58" s="801" t="s">
        <v>537</v>
      </c>
      <c r="D58" s="781">
        <v>6.3098130000000001</v>
      </c>
      <c r="E58" s="799">
        <f t="shared" si="0"/>
        <v>5.9413685050756747E-2</v>
      </c>
      <c r="F58" s="799">
        <f>IF(SUM($D$14:$D$16)=0,0,D58/SUM($D$14:D$16)*100)</f>
        <v>0.10753566047702565</v>
      </c>
      <c r="G58" s="782">
        <f t="shared" si="1"/>
        <v>0.75600957993409545</v>
      </c>
    </row>
    <row r="59" spans="2:7" x14ac:dyDescent="0.2">
      <c r="B59" s="797"/>
      <c r="C59" s="801" t="s">
        <v>538</v>
      </c>
      <c r="D59" s="781">
        <v>161.56015100000002</v>
      </c>
      <c r="E59" s="799">
        <f t="shared" si="0"/>
        <v>1.5212628216187554</v>
      </c>
      <c r="F59" s="799">
        <f>IF(SUM($D$14:$D$16)=0,0,D59/SUM($D$14:D$16)*100)</f>
        <v>2.7534060905692446</v>
      </c>
      <c r="G59" s="782">
        <f t="shared" si="1"/>
        <v>19.357312473697561</v>
      </c>
    </row>
    <row r="60" spans="2:7" x14ac:dyDescent="0.2">
      <c r="B60" s="797"/>
      <c r="C60" s="801" t="s">
        <v>539</v>
      </c>
      <c r="D60" s="781">
        <v>0</v>
      </c>
      <c r="E60" s="799">
        <f t="shared" si="0"/>
        <v>0</v>
      </c>
      <c r="F60" s="799">
        <f>IF(SUM($D$14:$D$16)=0,0,D60/SUM($D$14:D$16)*100)</f>
        <v>0</v>
      </c>
      <c r="G60" s="782">
        <f t="shared" si="1"/>
        <v>0</v>
      </c>
    </row>
    <row r="61" spans="2:7" x14ac:dyDescent="0.2">
      <c r="B61" s="797"/>
      <c r="C61" s="801" t="s">
        <v>540</v>
      </c>
      <c r="D61" s="781">
        <v>0</v>
      </c>
      <c r="E61" s="799">
        <f t="shared" si="0"/>
        <v>0</v>
      </c>
      <c r="F61" s="799">
        <f>IF(SUM($D$14:$D$16)=0,0,D61/SUM($D$14:D$16)*100)</f>
        <v>0</v>
      </c>
      <c r="G61" s="782">
        <f t="shared" si="1"/>
        <v>0</v>
      </c>
    </row>
    <row r="62" spans="2:7" x14ac:dyDescent="0.2">
      <c r="B62" s="797"/>
      <c r="C62" s="801" t="s">
        <v>541</v>
      </c>
      <c r="D62" s="781">
        <v>0</v>
      </c>
      <c r="E62" s="799">
        <f t="shared" si="0"/>
        <v>0</v>
      </c>
      <c r="F62" s="799">
        <f>IF(SUM($D$14:$D$16)=0,0,D62/SUM($D$14:D$16)*100)</f>
        <v>0</v>
      </c>
      <c r="G62" s="782">
        <f t="shared" si="1"/>
        <v>0</v>
      </c>
    </row>
    <row r="63" spans="2:7" x14ac:dyDescent="0.2">
      <c r="B63" s="797"/>
      <c r="C63" s="801" t="s">
        <v>542</v>
      </c>
      <c r="D63" s="781">
        <v>0</v>
      </c>
      <c r="E63" s="799">
        <f t="shared" si="0"/>
        <v>0</v>
      </c>
      <c r="F63" s="799">
        <f>IF(SUM($D$14:$D$16)=0,0,D63/SUM($D$14:D$16)*100)</f>
        <v>0</v>
      </c>
      <c r="G63" s="782">
        <f t="shared" si="1"/>
        <v>0</v>
      </c>
    </row>
    <row r="64" spans="2:7" x14ac:dyDescent="0.2">
      <c r="B64" s="797"/>
      <c r="C64" s="801" t="s">
        <v>543</v>
      </c>
      <c r="D64" s="781">
        <v>60.488561000000011</v>
      </c>
      <c r="E64" s="799">
        <f t="shared" si="0"/>
        <v>0.56956494787206657</v>
      </c>
      <c r="F64" s="799">
        <f>IF(SUM($D$14:$D$16)=0,0,D64/SUM($D$14:D$16)*100)</f>
        <v>1.0308827469910526</v>
      </c>
      <c r="G64" s="782">
        <f t="shared" si="1"/>
        <v>7.2474305644918342</v>
      </c>
    </row>
    <row r="65" spans="2:7" x14ac:dyDescent="0.2">
      <c r="B65" s="797"/>
      <c r="C65" s="801" t="s">
        <v>544</v>
      </c>
      <c r="D65" s="781">
        <v>151.10206199999999</v>
      </c>
      <c r="E65" s="799">
        <f t="shared" si="0"/>
        <v>1.4227886503431906</v>
      </c>
      <c r="F65" s="799">
        <f>IF(SUM($D$14:$D$16)=0,0,D65/SUM($D$14:D$16)*100)</f>
        <v>2.5751729942884953</v>
      </c>
      <c r="G65" s="782">
        <f t="shared" si="1"/>
        <v>18.104277641793129</v>
      </c>
    </row>
    <row r="66" spans="2:7" x14ac:dyDescent="0.2">
      <c r="B66" s="797"/>
      <c r="C66" s="801" t="s">
        <v>545</v>
      </c>
      <c r="D66" s="781">
        <v>0</v>
      </c>
      <c r="E66" s="799">
        <f t="shared" si="0"/>
        <v>0</v>
      </c>
      <c r="F66" s="799">
        <f>IF(SUM($D$14:$D$16)=0,0,D66/SUM($D$14:D$16)*100)</f>
        <v>0</v>
      </c>
      <c r="G66" s="782">
        <f t="shared" si="1"/>
        <v>0</v>
      </c>
    </row>
    <row r="67" spans="2:7" x14ac:dyDescent="0.2">
      <c r="B67" s="797"/>
      <c r="C67" s="801" t="s">
        <v>546</v>
      </c>
      <c r="D67" s="781">
        <v>7.2555550000000002</v>
      </c>
      <c r="E67" s="799">
        <f t="shared" si="0"/>
        <v>6.8318864542965596E-2</v>
      </c>
      <c r="F67" s="799">
        <f>IF(SUM($D$14:$D$16)=0,0,D67/SUM($D$14:D$16)*100)</f>
        <v>0.12365356929791513</v>
      </c>
      <c r="G67" s="782">
        <f t="shared" si="1"/>
        <v>0.86932355804185102</v>
      </c>
    </row>
    <row r="68" spans="2:7" x14ac:dyDescent="0.2">
      <c r="B68" s="802"/>
      <c r="C68" s="803" t="s">
        <v>547</v>
      </c>
      <c r="D68" s="804">
        <v>4.6954159999999998</v>
      </c>
      <c r="E68" s="805">
        <f t="shared" si="0"/>
        <v>4.4212398593474013E-2</v>
      </c>
      <c r="F68" s="805">
        <f>IF(SUM($D$14:$D$16)=0,0,D68/SUM($D$14:D$16)*100)</f>
        <v>8.0022127561370476E-2</v>
      </c>
      <c r="G68" s="785">
        <f t="shared" si="1"/>
        <v>0.56258077343588953</v>
      </c>
    </row>
    <row r="69" spans="2:7" x14ac:dyDescent="0.2">
      <c r="D69" s="788"/>
      <c r="E69" s="789"/>
      <c r="F69" s="789"/>
      <c r="G69" s="789"/>
    </row>
    <row r="70" spans="2:7" x14ac:dyDescent="0.2">
      <c r="B70" s="794" t="s">
        <v>20</v>
      </c>
      <c r="C70" s="795" t="s">
        <v>517</v>
      </c>
      <c r="D70" s="779">
        <v>0</v>
      </c>
      <c r="E70" s="796">
        <f>IF($C$5=0,0,D70/$C$5*100)</f>
        <v>0</v>
      </c>
      <c r="F70" s="796">
        <f>IF(SUM($D$19:$D$21)=0,0,D70/SUM($D$19:D$21)*100)</f>
        <v>0</v>
      </c>
      <c r="G70" s="780">
        <f>IF($D$19=0,0,D70/$D$19*100)</f>
        <v>0</v>
      </c>
    </row>
    <row r="71" spans="2:7" x14ac:dyDescent="0.2">
      <c r="B71" s="797"/>
      <c r="C71" s="798" t="s">
        <v>987</v>
      </c>
      <c r="D71" s="781">
        <v>0</v>
      </c>
      <c r="E71" s="799">
        <f t="shared" ref="E71:E101" si="2">IF($C$5=0,0,D71/$C$5*100)</f>
        <v>0</v>
      </c>
      <c r="F71" s="799">
        <f>IF(SUM($D$19:$D$21)=0,0,D71/SUM($D$19:D$21)*100)</f>
        <v>0</v>
      </c>
      <c r="G71" s="782">
        <f t="shared" ref="G71:G101" si="3">IF($D$19=0,0,D71/$D$19*100)</f>
        <v>0</v>
      </c>
    </row>
    <row r="72" spans="2:7" x14ac:dyDescent="0.2">
      <c r="B72" s="797"/>
      <c r="C72" s="800" t="s">
        <v>518</v>
      </c>
      <c r="D72" s="781">
        <v>8.5817529999999991</v>
      </c>
      <c r="E72" s="799">
        <f t="shared" si="2"/>
        <v>0.42259695526144198</v>
      </c>
      <c r="F72" s="799">
        <f>IF(SUM($D$19:$D$21)=0,0,D72/SUM($D$19:D$21)*100)</f>
        <v>0.58534438703060054</v>
      </c>
      <c r="G72" s="782">
        <f t="shared" si="3"/>
        <v>3.7199184387658941</v>
      </c>
    </row>
    <row r="73" spans="2:7" x14ac:dyDescent="0.2">
      <c r="B73" s="797"/>
      <c r="C73" s="800" t="s">
        <v>519</v>
      </c>
      <c r="D73" s="781">
        <v>1.060459</v>
      </c>
      <c r="E73" s="799">
        <f t="shared" si="2"/>
        <v>5.2220885940156232E-2</v>
      </c>
      <c r="F73" s="799">
        <f>IF(SUM($D$19:$D$21)=0,0,D73/SUM($D$19:D$21)*100)</f>
        <v>7.233180951794857E-2</v>
      </c>
      <c r="G73" s="782">
        <f t="shared" si="3"/>
        <v>0.45967542851154553</v>
      </c>
    </row>
    <row r="74" spans="2:7" x14ac:dyDescent="0.2">
      <c r="B74" s="797"/>
      <c r="C74" s="800" t="s">
        <v>520</v>
      </c>
      <c r="D74" s="781">
        <v>16.934262</v>
      </c>
      <c r="E74" s="799">
        <f t="shared" si="2"/>
        <v>0.8339050961731872</v>
      </c>
      <c r="F74" s="799">
        <f>IF(SUM($D$19:$D$21)=0,0,D74/SUM($D$19:D$21)*100)</f>
        <v>1.1550524945434335</v>
      </c>
      <c r="G74" s="782">
        <f t="shared" si="3"/>
        <v>7.3404668557452784</v>
      </c>
    </row>
    <row r="75" spans="2:7" x14ac:dyDescent="0.2">
      <c r="B75" s="797"/>
      <c r="C75" s="800" t="s">
        <v>521</v>
      </c>
      <c r="D75" s="781">
        <v>0</v>
      </c>
      <c r="E75" s="799">
        <f t="shared" si="2"/>
        <v>0</v>
      </c>
      <c r="F75" s="799">
        <f>IF(SUM($D$19:$D$21)=0,0,D75/SUM($D$19:D$21)*100)</f>
        <v>0</v>
      </c>
      <c r="G75" s="782">
        <f t="shared" si="3"/>
        <v>0</v>
      </c>
    </row>
    <row r="76" spans="2:7" x14ac:dyDescent="0.2">
      <c r="B76" s="797"/>
      <c r="C76" s="800" t="s">
        <v>522</v>
      </c>
      <c r="D76" s="781">
        <v>0</v>
      </c>
      <c r="E76" s="799">
        <f t="shared" si="2"/>
        <v>0</v>
      </c>
      <c r="F76" s="799">
        <f>IF(SUM($D$19:$D$21)=0,0,D76/SUM($D$19:D$21)*100)</f>
        <v>0</v>
      </c>
      <c r="G76" s="782">
        <f t="shared" si="3"/>
        <v>0</v>
      </c>
    </row>
    <row r="77" spans="2:7" x14ac:dyDescent="0.2">
      <c r="B77" s="797"/>
      <c r="C77" s="800" t="s">
        <v>523</v>
      </c>
      <c r="D77" s="781">
        <v>0</v>
      </c>
      <c r="E77" s="799">
        <f t="shared" si="2"/>
        <v>0</v>
      </c>
      <c r="F77" s="799">
        <f>IF(SUM($D$19:$D$21)=0,0,D77/SUM($D$19:D$21)*100)</f>
        <v>0</v>
      </c>
      <c r="G77" s="782">
        <f t="shared" si="3"/>
        <v>0</v>
      </c>
    </row>
    <row r="78" spans="2:7" x14ac:dyDescent="0.2">
      <c r="B78" s="797"/>
      <c r="C78" s="800" t="s">
        <v>524</v>
      </c>
      <c r="D78" s="781">
        <v>4</v>
      </c>
      <c r="E78" s="799">
        <f t="shared" si="2"/>
        <v>0.19697465320264612</v>
      </c>
      <c r="F78" s="799">
        <f>IF(SUM($D$19:$D$21)=0,0,D78/SUM($D$19:D$21)*100)</f>
        <v>0.27283208315625052</v>
      </c>
      <c r="G78" s="782">
        <f t="shared" si="3"/>
        <v>1.7338734586119615</v>
      </c>
    </row>
    <row r="79" spans="2:7" x14ac:dyDescent="0.2">
      <c r="B79" s="797"/>
      <c r="C79" s="800" t="s">
        <v>525</v>
      </c>
      <c r="D79" s="781">
        <v>0</v>
      </c>
      <c r="E79" s="799">
        <f t="shared" si="2"/>
        <v>0</v>
      </c>
      <c r="F79" s="799">
        <f>IF(SUM($D$19:$D$21)=0,0,D79/SUM($D$19:D$21)*100)</f>
        <v>0</v>
      </c>
      <c r="G79" s="782">
        <f t="shared" si="3"/>
        <v>0</v>
      </c>
    </row>
    <row r="80" spans="2:7" x14ac:dyDescent="0.2">
      <c r="B80" s="797"/>
      <c r="C80" s="800" t="s">
        <v>526</v>
      </c>
      <c r="D80" s="781">
        <v>0</v>
      </c>
      <c r="E80" s="799">
        <f t="shared" si="2"/>
        <v>0</v>
      </c>
      <c r="F80" s="799">
        <f>IF(SUM($D$19:$D$21)=0,0,D80/SUM($D$19:D$21)*100)</f>
        <v>0</v>
      </c>
      <c r="G80" s="782">
        <f t="shared" si="3"/>
        <v>0</v>
      </c>
    </row>
    <row r="81" spans="2:9" x14ac:dyDescent="0.2">
      <c r="B81" s="797"/>
      <c r="C81" s="800" t="s">
        <v>527</v>
      </c>
      <c r="D81" s="781">
        <v>0</v>
      </c>
      <c r="E81" s="799">
        <f t="shared" si="2"/>
        <v>0</v>
      </c>
      <c r="F81" s="799">
        <f>IF(SUM($D$19:$D$21)=0,0,D81/SUM($D$19:D$21)*100)</f>
        <v>0</v>
      </c>
      <c r="G81" s="782">
        <f t="shared" si="3"/>
        <v>0</v>
      </c>
    </row>
    <row r="82" spans="2:9" x14ac:dyDescent="0.2">
      <c r="B82" s="797"/>
      <c r="C82" s="801" t="s">
        <v>528</v>
      </c>
      <c r="D82" s="781">
        <v>0</v>
      </c>
      <c r="E82" s="799">
        <f t="shared" si="2"/>
        <v>0</v>
      </c>
      <c r="F82" s="799">
        <f>IF(SUM($D$19:$D$21)=0,0,D82/SUM($D$19:D$21)*100)</f>
        <v>0</v>
      </c>
      <c r="G82" s="782">
        <f t="shared" si="3"/>
        <v>0</v>
      </c>
    </row>
    <row r="83" spans="2:9" x14ac:dyDescent="0.2">
      <c r="B83" s="797"/>
      <c r="C83" s="801" t="s">
        <v>529</v>
      </c>
      <c r="D83" s="781">
        <v>2</v>
      </c>
      <c r="E83" s="799">
        <f t="shared" si="2"/>
        <v>9.8487326601323061E-2</v>
      </c>
      <c r="F83" s="799">
        <f>IF(SUM($D$19:$D$21)=0,0,D83/SUM($D$19:D$21)*100)</f>
        <v>0.13641604157812526</v>
      </c>
      <c r="G83" s="782">
        <f t="shared" si="3"/>
        <v>0.86693672930598076</v>
      </c>
    </row>
    <row r="84" spans="2:9" x14ac:dyDescent="0.2">
      <c r="B84" s="797"/>
      <c r="C84" s="801" t="s">
        <v>530</v>
      </c>
      <c r="D84" s="781">
        <v>0</v>
      </c>
      <c r="E84" s="799">
        <f t="shared" si="2"/>
        <v>0</v>
      </c>
      <c r="F84" s="799">
        <f>IF(SUM($D$19:$D$21)=0,0,D84/SUM($D$19:D$21)*100)</f>
        <v>0</v>
      </c>
      <c r="G84" s="782">
        <f t="shared" si="3"/>
        <v>0</v>
      </c>
    </row>
    <row r="85" spans="2:9" x14ac:dyDescent="0.2">
      <c r="B85" s="797"/>
      <c r="C85" s="801" t="s">
        <v>531</v>
      </c>
      <c r="D85" s="781">
        <v>0</v>
      </c>
      <c r="E85" s="799">
        <f t="shared" si="2"/>
        <v>0</v>
      </c>
      <c r="F85" s="799">
        <f>IF(SUM($D$19:$D$21)=0,0,D85/SUM($D$19:D$21)*100)</f>
        <v>0</v>
      </c>
      <c r="G85" s="782">
        <f t="shared" si="3"/>
        <v>0</v>
      </c>
    </row>
    <row r="86" spans="2:9" x14ac:dyDescent="0.2">
      <c r="B86" s="797"/>
      <c r="C86" s="801" t="s">
        <v>532</v>
      </c>
      <c r="D86" s="781">
        <v>141.81173799999999</v>
      </c>
      <c r="E86" s="799">
        <f t="shared" si="2"/>
        <v>6.9833294781536281</v>
      </c>
      <c r="F86" s="799">
        <f>IF(SUM($D$19:$D$21)=0,0,D86/SUM($D$19:D$21)*100)</f>
        <v>9.6726979736371046</v>
      </c>
      <c r="G86" s="782">
        <f t="shared" si="3"/>
        <v>61.470902159458326</v>
      </c>
    </row>
    <row r="87" spans="2:9" x14ac:dyDescent="0.2">
      <c r="B87" s="797"/>
      <c r="C87" s="801" t="s">
        <v>533</v>
      </c>
      <c r="D87" s="781">
        <v>0</v>
      </c>
      <c r="E87" s="799">
        <f t="shared" si="2"/>
        <v>0</v>
      </c>
      <c r="F87" s="799">
        <f>IF(SUM($D$19:$D$21)=0,0,D87/SUM($D$19:D$21)*100)</f>
        <v>0</v>
      </c>
      <c r="G87" s="782">
        <f t="shared" si="3"/>
        <v>0</v>
      </c>
    </row>
    <row r="88" spans="2:9" x14ac:dyDescent="0.2">
      <c r="B88" s="797"/>
      <c r="C88" s="801" t="s">
        <v>534</v>
      </c>
      <c r="D88" s="781">
        <v>10.54541</v>
      </c>
      <c r="E88" s="799">
        <f t="shared" si="2"/>
        <v>0.51929461940742916</v>
      </c>
      <c r="F88" s="799">
        <f>IF(SUM($D$19:$D$21)=0,0,D88/SUM($D$19:D$21)*100)</f>
        <v>0.71928154450918902</v>
      </c>
      <c r="G88" s="782">
        <f t="shared" si="3"/>
        <v>4.5711016272952918</v>
      </c>
      <c r="I88" s="806"/>
    </row>
    <row r="89" spans="2:9" x14ac:dyDescent="0.2">
      <c r="B89" s="797"/>
      <c r="C89" s="801" t="s">
        <v>535</v>
      </c>
      <c r="D89" s="781">
        <v>1.046603</v>
      </c>
      <c r="E89" s="799">
        <f t="shared" si="2"/>
        <v>5.1538565741462254E-2</v>
      </c>
      <c r="F89" s="799">
        <f>IF(SUM($D$19:$D$21)=0,0,D89/SUM($D$19:D$21)*100)</f>
        <v>7.138671918189532E-2</v>
      </c>
      <c r="G89" s="782">
        <f t="shared" si="3"/>
        <v>0.45366929085091368</v>
      </c>
      <c r="I89" s="806"/>
    </row>
    <row r="90" spans="2:9" x14ac:dyDescent="0.2">
      <c r="B90" s="797"/>
      <c r="C90" s="801" t="s">
        <v>536</v>
      </c>
      <c r="D90" s="781">
        <v>1</v>
      </c>
      <c r="E90" s="799">
        <f t="shared" si="2"/>
        <v>4.924366330066153E-2</v>
      </c>
      <c r="F90" s="799">
        <f>IF(SUM($D$19:$D$21)=0,0,D90/SUM($D$19:D$21)*100)</f>
        <v>6.8208020789062629E-2</v>
      </c>
      <c r="G90" s="782">
        <f t="shared" si="3"/>
        <v>0.43346836465299038</v>
      </c>
      <c r="I90" s="806"/>
    </row>
    <row r="91" spans="2:9" x14ac:dyDescent="0.2">
      <c r="B91" s="797"/>
      <c r="C91" s="801" t="s">
        <v>537</v>
      </c>
      <c r="D91" s="781">
        <v>0</v>
      </c>
      <c r="E91" s="799">
        <f t="shared" si="2"/>
        <v>0</v>
      </c>
      <c r="F91" s="799">
        <f>IF(SUM($D$19:$D$21)=0,0,D91/SUM($D$19:D$21)*100)</f>
        <v>0</v>
      </c>
      <c r="G91" s="782">
        <f t="shared" si="3"/>
        <v>0</v>
      </c>
      <c r="I91" s="806"/>
    </row>
    <row r="92" spans="2:9" x14ac:dyDescent="0.2">
      <c r="B92" s="797"/>
      <c r="C92" s="801" t="s">
        <v>538</v>
      </c>
      <c r="D92" s="781">
        <v>7.1472319999999989</v>
      </c>
      <c r="E92" s="799">
        <f t="shared" si="2"/>
        <v>0.35195588613971368</v>
      </c>
      <c r="F92" s="799">
        <f>IF(SUM($D$19:$D$21)=0,0,D92/SUM($D$19:D$21)*100)</f>
        <v>0.48749854884025362</v>
      </c>
      <c r="G92" s="782">
        <f t="shared" si="3"/>
        <v>3.0980989668355217</v>
      </c>
      <c r="I92" s="806"/>
    </row>
    <row r="93" spans="2:9" x14ac:dyDescent="0.2">
      <c r="B93" s="797"/>
      <c r="C93" s="801" t="s">
        <v>539</v>
      </c>
      <c r="D93" s="781">
        <v>0</v>
      </c>
      <c r="E93" s="799">
        <f t="shared" si="2"/>
        <v>0</v>
      </c>
      <c r="F93" s="799">
        <f>IF(SUM($D$19:$D$21)=0,0,D93/SUM($D$19:D$21)*100)</f>
        <v>0</v>
      </c>
      <c r="G93" s="782">
        <f t="shared" si="3"/>
        <v>0</v>
      </c>
      <c r="I93" s="806"/>
    </row>
    <row r="94" spans="2:9" x14ac:dyDescent="0.2">
      <c r="B94" s="797"/>
      <c r="C94" s="801" t="s">
        <v>540</v>
      </c>
      <c r="D94" s="781">
        <v>0</v>
      </c>
      <c r="E94" s="799">
        <f t="shared" si="2"/>
        <v>0</v>
      </c>
      <c r="F94" s="799">
        <f>IF(SUM($D$19:$D$21)=0,0,D94/SUM($D$19:D$21)*100)</f>
        <v>0</v>
      </c>
      <c r="G94" s="782">
        <f t="shared" si="3"/>
        <v>0</v>
      </c>
      <c r="I94" s="806"/>
    </row>
    <row r="95" spans="2:9" x14ac:dyDescent="0.2">
      <c r="B95" s="797"/>
      <c r="C95" s="801" t="s">
        <v>541</v>
      </c>
      <c r="D95" s="781">
        <v>0</v>
      </c>
      <c r="E95" s="799">
        <f t="shared" si="2"/>
        <v>0</v>
      </c>
      <c r="F95" s="799">
        <f>IF(SUM($D$19:$D$21)=0,0,D95/SUM($D$19:D$21)*100)</f>
        <v>0</v>
      </c>
      <c r="G95" s="782">
        <f t="shared" si="3"/>
        <v>0</v>
      </c>
      <c r="I95" s="806"/>
    </row>
    <row r="96" spans="2:9" x14ac:dyDescent="0.2">
      <c r="B96" s="797"/>
      <c r="C96" s="801" t="s">
        <v>542</v>
      </c>
      <c r="D96" s="781">
        <v>0</v>
      </c>
      <c r="E96" s="799">
        <f t="shared" si="2"/>
        <v>0</v>
      </c>
      <c r="F96" s="799">
        <f>IF(SUM($D$19:$D$21)=0,0,D96/SUM($D$19:D$21)*100)</f>
        <v>0</v>
      </c>
      <c r="G96" s="782">
        <f t="shared" si="3"/>
        <v>0</v>
      </c>
      <c r="I96" s="806"/>
    </row>
    <row r="97" spans="2:9" x14ac:dyDescent="0.2">
      <c r="B97" s="797"/>
      <c r="C97" s="801" t="s">
        <v>543</v>
      </c>
      <c r="D97" s="781">
        <v>15.890341000000001</v>
      </c>
      <c r="E97" s="799">
        <f t="shared" si="2"/>
        <v>0.7824986019366974</v>
      </c>
      <c r="F97" s="799">
        <f>IF(SUM($D$19:$D$21)=0,0,D97/SUM($D$19:D$21)*100)</f>
        <v>1.0838487092732945</v>
      </c>
      <c r="G97" s="782">
        <f t="shared" si="3"/>
        <v>6.8879601270483644</v>
      </c>
      <c r="I97" s="806"/>
    </row>
    <row r="98" spans="2:9" x14ac:dyDescent="0.2">
      <c r="B98" s="797"/>
      <c r="C98" s="801" t="s">
        <v>544</v>
      </c>
      <c r="D98" s="781">
        <v>44.369721999999996</v>
      </c>
      <c r="E98" s="799">
        <f t="shared" si="2"/>
        <v>2.1849276509119546</v>
      </c>
      <c r="F98" s="799">
        <f>IF(SUM($D$19:$D$21)=0,0,D98/SUM($D$19:D$21)*100)</f>
        <v>3.0263709205809297</v>
      </c>
      <c r="G98" s="782">
        <f t="shared" si="3"/>
        <v>19.232870835447809</v>
      </c>
      <c r="I98" s="806"/>
    </row>
    <row r="99" spans="2:9" x14ac:dyDescent="0.2">
      <c r="B99" s="797"/>
      <c r="C99" s="801" t="s">
        <v>545</v>
      </c>
      <c r="D99" s="781">
        <v>0</v>
      </c>
      <c r="E99" s="799">
        <f t="shared" si="2"/>
        <v>0</v>
      </c>
      <c r="F99" s="799">
        <f>IF(SUM($D$19:$D$21)=0,0,D99/SUM($D$19:D$21)*100)</f>
        <v>0</v>
      </c>
      <c r="G99" s="782">
        <f t="shared" si="3"/>
        <v>0</v>
      </c>
    </row>
    <row r="100" spans="2:9" x14ac:dyDescent="0.2">
      <c r="B100" s="797"/>
      <c r="C100" s="801" t="s">
        <v>546</v>
      </c>
      <c r="D100" s="781">
        <v>0</v>
      </c>
      <c r="E100" s="799">
        <f t="shared" si="2"/>
        <v>0</v>
      </c>
      <c r="F100" s="799">
        <f>IF(SUM($D$19:$D$21)=0,0,D100/SUM($D$19:D$21)*100)</f>
        <v>0</v>
      </c>
      <c r="G100" s="782">
        <f t="shared" si="3"/>
        <v>0</v>
      </c>
    </row>
    <row r="101" spans="2:9" x14ac:dyDescent="0.2">
      <c r="B101" s="802"/>
      <c r="C101" s="803" t="s">
        <v>547</v>
      </c>
      <c r="D101" s="804">
        <v>0</v>
      </c>
      <c r="E101" s="805">
        <f t="shared" si="2"/>
        <v>0</v>
      </c>
      <c r="F101" s="805">
        <f>IF(SUM($D$19:$D$21)=0,0,D101/SUM($D$19:D$21)*100)</f>
        <v>0</v>
      </c>
      <c r="G101" s="785">
        <f t="shared" si="3"/>
        <v>0</v>
      </c>
    </row>
    <row r="102" spans="2:9" x14ac:dyDescent="0.2">
      <c r="D102" s="788"/>
      <c r="E102" s="789"/>
      <c r="F102" s="789"/>
      <c r="G102" s="789"/>
    </row>
    <row r="103" spans="2:9" x14ac:dyDescent="0.2">
      <c r="B103" s="794" t="s">
        <v>502</v>
      </c>
      <c r="C103" s="795" t="s">
        <v>517</v>
      </c>
      <c r="D103" s="779">
        <v>0</v>
      </c>
      <c r="E103" s="796">
        <f>IF($C$6=0,0,D103/$C$6*100)</f>
        <v>0</v>
      </c>
      <c r="F103" s="796">
        <f>IF(SUM($D$24:$D$26)=0,0,D103/SUM($D$24:D$26)*100)</f>
        <v>0</v>
      </c>
      <c r="G103" s="780">
        <f>IF($D$24=0,0,D103/$D$24*100)</f>
        <v>0</v>
      </c>
    </row>
    <row r="104" spans="2:9" x14ac:dyDescent="0.2">
      <c r="B104" s="797"/>
      <c r="C104" s="798" t="s">
        <v>987</v>
      </c>
      <c r="D104" s="781">
        <v>0</v>
      </c>
      <c r="E104" s="799">
        <f t="shared" ref="E104:E134" si="4">IF($C$6=0,0,D104/$C$6*100)</f>
        <v>0</v>
      </c>
      <c r="F104" s="799">
        <f>IF(SUM($D$24:$D$26)=0,0,D104/SUM($D$24:D$26)*100)</f>
        <v>0</v>
      </c>
      <c r="G104" s="782">
        <f t="shared" ref="G104:G134" si="5">IF($D$24=0,0,D104/$D$24*100)</f>
        <v>0</v>
      </c>
    </row>
    <row r="105" spans="2:9" x14ac:dyDescent="0.2">
      <c r="B105" s="797"/>
      <c r="C105" s="800" t="s">
        <v>518</v>
      </c>
      <c r="D105" s="781">
        <v>18.986141000000003</v>
      </c>
      <c r="E105" s="799">
        <f t="shared" si="4"/>
        <v>0.57199029269486679</v>
      </c>
      <c r="F105" s="799">
        <f>IF(SUM($D$24:$D$26)=0,0,D105/SUM($D$24:D$26)*100)</f>
        <v>1.0288114674807396</v>
      </c>
      <c r="G105" s="782">
        <f t="shared" si="5"/>
        <v>7.9145973350532275</v>
      </c>
    </row>
    <row r="106" spans="2:9" x14ac:dyDescent="0.2">
      <c r="B106" s="797"/>
      <c r="C106" s="800" t="s">
        <v>519</v>
      </c>
      <c r="D106" s="781">
        <v>18.459282999999999</v>
      </c>
      <c r="E106" s="799">
        <f t="shared" si="4"/>
        <v>0.55611778539448198</v>
      </c>
      <c r="F106" s="799">
        <f>IF(SUM($D$24:$D$26)=0,0,D106/SUM($D$24:D$26)*100)</f>
        <v>1.0002623509365209</v>
      </c>
      <c r="G106" s="782">
        <f t="shared" si="5"/>
        <v>7.6949703490979724</v>
      </c>
    </row>
    <row r="107" spans="2:9" x14ac:dyDescent="0.2">
      <c r="B107" s="797"/>
      <c r="C107" s="800" t="s">
        <v>520</v>
      </c>
      <c r="D107" s="781">
        <v>24.062099</v>
      </c>
      <c r="E107" s="799">
        <f t="shared" si="4"/>
        <v>0.72491229522960243</v>
      </c>
      <c r="F107" s="799">
        <f>IF(SUM($D$24:$D$26)=0,0,D107/SUM($D$24:D$26)*100)</f>
        <v>1.3038649287844661</v>
      </c>
      <c r="G107" s="782">
        <f t="shared" si="5"/>
        <v>10.030570436677307</v>
      </c>
    </row>
    <row r="108" spans="2:9" x14ac:dyDescent="0.2">
      <c r="B108" s="797"/>
      <c r="C108" s="800" t="s">
        <v>521</v>
      </c>
      <c r="D108" s="781">
        <v>0</v>
      </c>
      <c r="E108" s="799">
        <f t="shared" si="4"/>
        <v>0</v>
      </c>
      <c r="F108" s="799">
        <f>IF(SUM($D$24:$D$26)=0,0,D108/SUM($D$24:D$26)*100)</f>
        <v>0</v>
      </c>
      <c r="G108" s="782">
        <f t="shared" si="5"/>
        <v>0</v>
      </c>
    </row>
    <row r="109" spans="2:9" x14ac:dyDescent="0.2">
      <c r="B109" s="797"/>
      <c r="C109" s="800" t="s">
        <v>522</v>
      </c>
      <c r="D109" s="781">
        <v>1.078573</v>
      </c>
      <c r="E109" s="799">
        <f t="shared" si="4"/>
        <v>3.2493874661669288E-2</v>
      </c>
      <c r="F109" s="799">
        <f>IF(SUM($D$24:$D$26)=0,0,D109/SUM($D$24:D$26)*100)</f>
        <v>5.8445171713151375E-2</v>
      </c>
      <c r="G109" s="782">
        <f t="shared" si="5"/>
        <v>0.44961590622656616</v>
      </c>
    </row>
    <row r="110" spans="2:9" x14ac:dyDescent="0.2">
      <c r="B110" s="797"/>
      <c r="C110" s="800" t="s">
        <v>523</v>
      </c>
      <c r="D110" s="781">
        <v>0</v>
      </c>
      <c r="E110" s="799">
        <f t="shared" si="4"/>
        <v>0</v>
      </c>
      <c r="F110" s="799">
        <f>IF(SUM($D$24:$D$26)=0,0,D110/SUM($D$24:D$26)*100)</f>
        <v>0</v>
      </c>
      <c r="G110" s="782">
        <f t="shared" si="5"/>
        <v>0</v>
      </c>
    </row>
    <row r="111" spans="2:9" x14ac:dyDescent="0.2">
      <c r="B111" s="797"/>
      <c r="C111" s="800" t="s">
        <v>524</v>
      </c>
      <c r="D111" s="781">
        <v>3.7863159999999998</v>
      </c>
      <c r="E111" s="799">
        <f t="shared" si="4"/>
        <v>0.11406930966515295</v>
      </c>
      <c r="F111" s="799">
        <f>IF(SUM($D$24:$D$26)=0,0,D111/SUM($D$24:D$26)*100)</f>
        <v>0.20517098868621081</v>
      </c>
      <c r="G111" s="782">
        <f t="shared" si="5"/>
        <v>1.5783705874337177</v>
      </c>
    </row>
    <row r="112" spans="2:9" x14ac:dyDescent="0.2">
      <c r="B112" s="797"/>
      <c r="C112" s="800" t="s">
        <v>525</v>
      </c>
      <c r="D112" s="781">
        <v>1.316538</v>
      </c>
      <c r="E112" s="799">
        <f t="shared" si="4"/>
        <v>3.9662981327480626E-2</v>
      </c>
      <c r="F112" s="799">
        <f>IF(SUM($D$24:$D$26)=0,0,D112/SUM($D$24:D$26)*100)</f>
        <v>7.1339899549579755E-2</v>
      </c>
      <c r="G112" s="782">
        <f t="shared" si="5"/>
        <v>0.54881442976201977</v>
      </c>
    </row>
    <row r="113" spans="2:9" x14ac:dyDescent="0.2">
      <c r="B113" s="797"/>
      <c r="C113" s="800" t="s">
        <v>526</v>
      </c>
      <c r="D113" s="781">
        <v>0</v>
      </c>
      <c r="E113" s="799">
        <f t="shared" si="4"/>
        <v>0</v>
      </c>
      <c r="F113" s="799">
        <f>IF(SUM($D$24:$D$26)=0,0,D113/SUM($D$24:D$26)*100)</f>
        <v>0</v>
      </c>
      <c r="G113" s="782">
        <f t="shared" si="5"/>
        <v>0</v>
      </c>
    </row>
    <row r="114" spans="2:9" x14ac:dyDescent="0.2">
      <c r="B114" s="797"/>
      <c r="C114" s="800" t="s">
        <v>527</v>
      </c>
      <c r="D114" s="781">
        <v>0</v>
      </c>
      <c r="E114" s="799">
        <f t="shared" si="4"/>
        <v>0</v>
      </c>
      <c r="F114" s="799">
        <f>IF(SUM($D$24:$D$26)=0,0,D114/SUM($D$24:D$26)*100)</f>
        <v>0</v>
      </c>
      <c r="G114" s="782">
        <f t="shared" si="5"/>
        <v>0</v>
      </c>
    </row>
    <row r="115" spans="2:9" x14ac:dyDescent="0.2">
      <c r="B115" s="797"/>
      <c r="C115" s="801" t="s">
        <v>528</v>
      </c>
      <c r="D115" s="781">
        <v>0</v>
      </c>
      <c r="E115" s="799">
        <f t="shared" si="4"/>
        <v>0</v>
      </c>
      <c r="F115" s="799">
        <f>IF(SUM($D$24:$D$26)=0,0,D115/SUM($D$24:D$26)*100)</f>
        <v>0</v>
      </c>
      <c r="G115" s="782">
        <f t="shared" si="5"/>
        <v>0</v>
      </c>
    </row>
    <row r="116" spans="2:9" x14ac:dyDescent="0.2">
      <c r="B116" s="797"/>
      <c r="C116" s="801" t="s">
        <v>529</v>
      </c>
      <c r="D116" s="781">
        <v>1</v>
      </c>
      <c r="E116" s="799">
        <f t="shared" si="4"/>
        <v>3.0126727316249605E-2</v>
      </c>
      <c r="F116" s="799">
        <f>IF(SUM($D$24:$D$26)=0,0,D116/SUM($D$24:D$26)*100)</f>
        <v>5.4187497474117538E-2</v>
      </c>
      <c r="G116" s="782">
        <f t="shared" si="5"/>
        <v>0.41686182226568458</v>
      </c>
    </row>
    <row r="117" spans="2:9" x14ac:dyDescent="0.2">
      <c r="B117" s="797"/>
      <c r="C117" s="801" t="s">
        <v>530</v>
      </c>
      <c r="D117" s="781">
        <v>0</v>
      </c>
      <c r="E117" s="799">
        <f t="shared" si="4"/>
        <v>0</v>
      </c>
      <c r="F117" s="799">
        <f>IF(SUM($D$24:$D$26)=0,0,D117/SUM($D$24:D$26)*100)</f>
        <v>0</v>
      </c>
      <c r="G117" s="782">
        <f t="shared" si="5"/>
        <v>0</v>
      </c>
    </row>
    <row r="118" spans="2:9" x14ac:dyDescent="0.2">
      <c r="B118" s="797"/>
      <c r="C118" s="801" t="s">
        <v>531</v>
      </c>
      <c r="D118" s="781">
        <v>0</v>
      </c>
      <c r="E118" s="799">
        <f t="shared" si="4"/>
        <v>0</v>
      </c>
      <c r="F118" s="799">
        <f>IF(SUM($D$24:$D$26)=0,0,D118/SUM($D$24:D$26)*100)</f>
        <v>0</v>
      </c>
      <c r="G118" s="782">
        <f t="shared" si="5"/>
        <v>0</v>
      </c>
    </row>
    <row r="119" spans="2:9" x14ac:dyDescent="0.2">
      <c r="B119" s="797"/>
      <c r="C119" s="801" t="s">
        <v>532</v>
      </c>
      <c r="D119" s="781">
        <v>17.782219000000001</v>
      </c>
      <c r="E119" s="799">
        <f t="shared" si="4"/>
        <v>0.53572006289083285</v>
      </c>
      <c r="F119" s="799">
        <f>IF(SUM($D$24:$D$26)=0,0,D119/SUM($D$24:D$26)*100)</f>
        <v>0.96357394714670508</v>
      </c>
      <c r="G119" s="782">
        <f t="shared" si="5"/>
        <v>7.412728216267479</v>
      </c>
    </row>
    <row r="120" spans="2:9" x14ac:dyDescent="0.2">
      <c r="B120" s="797"/>
      <c r="C120" s="801" t="s">
        <v>533</v>
      </c>
      <c r="D120" s="781">
        <v>0</v>
      </c>
      <c r="E120" s="799">
        <f t="shared" si="4"/>
        <v>0</v>
      </c>
      <c r="F120" s="799">
        <f>IF(SUM($D$24:$D$26)=0,0,D120/SUM($D$24:D$26)*100)</f>
        <v>0</v>
      </c>
      <c r="G120" s="782">
        <f t="shared" si="5"/>
        <v>0</v>
      </c>
    </row>
    <row r="121" spans="2:9" x14ac:dyDescent="0.2">
      <c r="B121" s="797"/>
      <c r="C121" s="801" t="s">
        <v>534</v>
      </c>
      <c r="D121" s="781">
        <v>24.601841</v>
      </c>
      <c r="E121" s="799">
        <f t="shared" si="4"/>
        <v>0.7411729552847296</v>
      </c>
      <c r="F121" s="799">
        <f>IF(SUM($D$24:$D$26)=0,0,D121/SUM($D$24:D$26)*100)</f>
        <v>1.3331121970461413</v>
      </c>
      <c r="G121" s="782">
        <f t="shared" si="5"/>
        <v>10.255568270350631</v>
      </c>
      <c r="I121" s="806"/>
    </row>
    <row r="122" spans="2:9" x14ac:dyDescent="0.2">
      <c r="B122" s="797"/>
      <c r="C122" s="801" t="s">
        <v>535</v>
      </c>
      <c r="D122" s="781">
        <v>0</v>
      </c>
      <c r="E122" s="799">
        <f t="shared" si="4"/>
        <v>0</v>
      </c>
      <c r="F122" s="799">
        <f>IF(SUM($D$24:$D$26)=0,0,D122/SUM($D$24:D$26)*100)</f>
        <v>0</v>
      </c>
      <c r="G122" s="782">
        <f t="shared" si="5"/>
        <v>0</v>
      </c>
      <c r="I122" s="806"/>
    </row>
    <row r="123" spans="2:9" x14ac:dyDescent="0.2">
      <c r="B123" s="797"/>
      <c r="C123" s="801" t="s">
        <v>536</v>
      </c>
      <c r="D123" s="781">
        <v>0</v>
      </c>
      <c r="E123" s="799">
        <f t="shared" si="4"/>
        <v>0</v>
      </c>
      <c r="F123" s="799">
        <f>IF(SUM($D$24:$D$26)=0,0,D123/SUM($D$24:D$26)*100)</f>
        <v>0</v>
      </c>
      <c r="G123" s="782">
        <f t="shared" si="5"/>
        <v>0</v>
      </c>
      <c r="I123" s="806"/>
    </row>
    <row r="124" spans="2:9" x14ac:dyDescent="0.2">
      <c r="B124" s="797"/>
      <c r="C124" s="801" t="s">
        <v>537</v>
      </c>
      <c r="D124" s="781">
        <v>0</v>
      </c>
      <c r="E124" s="799">
        <f t="shared" si="4"/>
        <v>0</v>
      </c>
      <c r="F124" s="799">
        <f>IF(SUM($D$24:$D$26)=0,0,D124/SUM($D$24:D$26)*100)</f>
        <v>0</v>
      </c>
      <c r="G124" s="782">
        <f t="shared" si="5"/>
        <v>0</v>
      </c>
      <c r="I124" s="806"/>
    </row>
    <row r="125" spans="2:9" x14ac:dyDescent="0.2">
      <c r="B125" s="797"/>
      <c r="C125" s="801" t="s">
        <v>538</v>
      </c>
      <c r="D125" s="781">
        <v>2.9791249999999998</v>
      </c>
      <c r="E125" s="799">
        <f t="shared" si="4"/>
        <v>8.9751286516022113E-2</v>
      </c>
      <c r="F125" s="799">
        <f>IF(SUM($D$24:$D$26)=0,0,D125/SUM($D$24:D$26)*100)</f>
        <v>0.1614313284125804</v>
      </c>
      <c r="G125" s="782">
        <f t="shared" si="5"/>
        <v>1.2418834762572575</v>
      </c>
      <c r="I125" s="806"/>
    </row>
    <row r="126" spans="2:9" x14ac:dyDescent="0.2">
      <c r="B126" s="797"/>
      <c r="C126" s="801" t="s">
        <v>539</v>
      </c>
      <c r="D126" s="781">
        <v>0</v>
      </c>
      <c r="E126" s="799">
        <f t="shared" si="4"/>
        <v>0</v>
      </c>
      <c r="F126" s="799">
        <f>IF(SUM($D$24:$D$26)=0,0,D126/SUM($D$24:D$26)*100)</f>
        <v>0</v>
      </c>
      <c r="G126" s="782">
        <f t="shared" si="5"/>
        <v>0</v>
      </c>
      <c r="I126" s="806"/>
    </row>
    <row r="127" spans="2:9" x14ac:dyDescent="0.2">
      <c r="B127" s="797"/>
      <c r="C127" s="801" t="s">
        <v>540</v>
      </c>
      <c r="D127" s="781">
        <v>0</v>
      </c>
      <c r="E127" s="799">
        <f t="shared" si="4"/>
        <v>0</v>
      </c>
      <c r="F127" s="799">
        <f>IF(SUM($D$24:$D$26)=0,0,D127/SUM($D$24:D$26)*100)</f>
        <v>0</v>
      </c>
      <c r="G127" s="782">
        <f t="shared" si="5"/>
        <v>0</v>
      </c>
      <c r="I127" s="806"/>
    </row>
    <row r="128" spans="2:9" x14ac:dyDescent="0.2">
      <c r="B128" s="797"/>
      <c r="C128" s="801" t="s">
        <v>541</v>
      </c>
      <c r="D128" s="781">
        <v>0</v>
      </c>
      <c r="E128" s="799">
        <f t="shared" si="4"/>
        <v>0</v>
      </c>
      <c r="F128" s="799">
        <f>IF(SUM($D$24:$D$26)=0,0,D128/SUM($D$24:D$26)*100)</f>
        <v>0</v>
      </c>
      <c r="G128" s="782">
        <f t="shared" si="5"/>
        <v>0</v>
      </c>
      <c r="I128" s="806"/>
    </row>
    <row r="129" spans="2:9" x14ac:dyDescent="0.2">
      <c r="B129" s="797"/>
      <c r="C129" s="801" t="s">
        <v>542</v>
      </c>
      <c r="D129" s="781">
        <v>0</v>
      </c>
      <c r="E129" s="799">
        <f t="shared" si="4"/>
        <v>0</v>
      </c>
      <c r="F129" s="799">
        <f>IF(SUM($D$24:$D$26)=0,0,D129/SUM($D$24:D$26)*100)</f>
        <v>0</v>
      </c>
      <c r="G129" s="782">
        <f t="shared" si="5"/>
        <v>0</v>
      </c>
      <c r="I129" s="806"/>
    </row>
    <row r="130" spans="2:9" x14ac:dyDescent="0.2">
      <c r="B130" s="797"/>
      <c r="C130" s="801" t="s">
        <v>543</v>
      </c>
      <c r="D130" s="781">
        <v>78.731076999999999</v>
      </c>
      <c r="E130" s="799">
        <f t="shared" si="4"/>
        <v>2.3719096880936514</v>
      </c>
      <c r="F130" s="799">
        <f>IF(SUM($D$24:$D$26)=0,0,D130/SUM($D$24:D$26)*100)</f>
        <v>4.2662400360720536</v>
      </c>
      <c r="G130" s="782">
        <f t="shared" si="5"/>
        <v>32.819980227159924</v>
      </c>
      <c r="I130" s="806"/>
    </row>
    <row r="131" spans="2:9" x14ac:dyDescent="0.2">
      <c r="B131" s="797"/>
      <c r="C131" s="801" t="s">
        <v>544</v>
      </c>
      <c r="D131" s="781">
        <v>74.532537999999988</v>
      </c>
      <c r="E131" s="799">
        <f t="shared" si="4"/>
        <v>2.2454214485140116</v>
      </c>
      <c r="F131" s="799">
        <f>IF(SUM($D$24:$D$26)=0,0,D131/SUM($D$24:D$26)*100)</f>
        <v>4.0387317146145687</v>
      </c>
      <c r="G131" s="782">
        <f t="shared" si="5"/>
        <v>31.069769608766372</v>
      </c>
      <c r="I131" s="806"/>
    </row>
    <row r="132" spans="2:9" x14ac:dyDescent="0.2">
      <c r="B132" s="797"/>
      <c r="C132" s="801" t="s">
        <v>545</v>
      </c>
      <c r="D132" s="781">
        <v>0</v>
      </c>
      <c r="E132" s="799">
        <f t="shared" si="4"/>
        <v>0</v>
      </c>
      <c r="F132" s="799">
        <f>IF(SUM($D$24:$D$26)=0,0,D132/SUM($D$24:D$26)*100)</f>
        <v>0</v>
      </c>
      <c r="G132" s="782">
        <f t="shared" si="5"/>
        <v>0</v>
      </c>
    </row>
    <row r="133" spans="2:9" x14ac:dyDescent="0.2">
      <c r="B133" s="797"/>
      <c r="C133" s="801" t="s">
        <v>546</v>
      </c>
      <c r="D133" s="781">
        <v>2.0256860000000003</v>
      </c>
      <c r="E133" s="799">
        <f t="shared" si="4"/>
        <v>6.1027289750344424E-2</v>
      </c>
      <c r="F133" s="799">
        <f>IF(SUM($D$24:$D$26)=0,0,D133/SUM($D$24:D$26)*100)</f>
        <v>0.10976685500835527</v>
      </c>
      <c r="G133" s="782">
        <f t="shared" si="5"/>
        <v>0.84443115729808571</v>
      </c>
    </row>
    <row r="134" spans="2:9" x14ac:dyDescent="0.2">
      <c r="B134" s="802"/>
      <c r="C134" s="803" t="s">
        <v>547</v>
      </c>
      <c r="D134" s="804">
        <v>0</v>
      </c>
      <c r="E134" s="805">
        <f t="shared" si="4"/>
        <v>0</v>
      </c>
      <c r="F134" s="805">
        <f>IF(SUM($D$24:$D$26)=0,0,D134/SUM($D$24:D$26)*100)</f>
        <v>0</v>
      </c>
      <c r="G134" s="785">
        <f t="shared" si="5"/>
        <v>0</v>
      </c>
    </row>
    <row r="135" spans="2:9" x14ac:dyDescent="0.2">
      <c r="D135" s="788"/>
      <c r="E135" s="789"/>
      <c r="F135" s="789"/>
      <c r="G135" s="789"/>
    </row>
    <row r="136" spans="2:9" x14ac:dyDescent="0.2">
      <c r="B136" s="794" t="s">
        <v>503</v>
      </c>
      <c r="C136" s="795" t="s">
        <v>517</v>
      </c>
      <c r="D136" s="779">
        <v>0</v>
      </c>
      <c r="E136" s="796">
        <f>IF($C$7=0,0,D136/$C$7*100)</f>
        <v>0</v>
      </c>
      <c r="F136" s="796">
        <f>IF(SUM($D$29:$D$31)=0,0,D136/SUM($D$29:D$31)*100)</f>
        <v>0</v>
      </c>
      <c r="G136" s="780">
        <f>IF($D$29=0,0,D136/$D$29*100)</f>
        <v>0</v>
      </c>
    </row>
    <row r="137" spans="2:9" x14ac:dyDescent="0.2">
      <c r="B137" s="797"/>
      <c r="C137" s="798" t="s">
        <v>987</v>
      </c>
      <c r="D137" s="781">
        <v>3.1966890000000001</v>
      </c>
      <c r="E137" s="799">
        <f t="shared" ref="E137:E167" si="6">IF($C$7=0,0,D137/$C$7*100)</f>
        <v>3.285868270220086E-2</v>
      </c>
      <c r="F137" s="799">
        <f>IF(SUM($D$29:$D$31)=0,0,D137/SUM($D$29:D$31)*100)</f>
        <v>0.11278950539179866</v>
      </c>
      <c r="G137" s="782">
        <f t="shared" ref="G137:G167" si="7">IF($D$29=0,0,D137/$D$29*100)</f>
        <v>0.225725072548879</v>
      </c>
    </row>
    <row r="138" spans="2:9" x14ac:dyDescent="0.2">
      <c r="B138" s="797"/>
      <c r="C138" s="800" t="s">
        <v>518</v>
      </c>
      <c r="D138" s="781">
        <v>1.224486</v>
      </c>
      <c r="E138" s="799">
        <f t="shared" si="6"/>
        <v>1.2586459598442991E-2</v>
      </c>
      <c r="F138" s="799">
        <f>IF(SUM($D$29:$D$31)=0,0,D138/SUM($D$29:D$31)*100)</f>
        <v>4.3203818169106206E-2</v>
      </c>
      <c r="G138" s="782">
        <f t="shared" si="7"/>
        <v>8.6463585035981491E-2</v>
      </c>
    </row>
    <row r="139" spans="2:9" x14ac:dyDescent="0.2">
      <c r="B139" s="797"/>
      <c r="C139" s="800" t="s">
        <v>519</v>
      </c>
      <c r="D139" s="781">
        <v>190.04637100000002</v>
      </c>
      <c r="E139" s="799">
        <f t="shared" si="6"/>
        <v>1.9534816816380161</v>
      </c>
      <c r="F139" s="799">
        <f>IF(SUM($D$29:$D$31)=0,0,D139/SUM($D$29:D$31)*100)</f>
        <v>6.7054493529387029</v>
      </c>
      <c r="G139" s="782">
        <f t="shared" si="7"/>
        <v>13.419582224491084</v>
      </c>
    </row>
    <row r="140" spans="2:9" x14ac:dyDescent="0.2">
      <c r="B140" s="797"/>
      <c r="C140" s="800" t="s">
        <v>520</v>
      </c>
      <c r="D140" s="781">
        <v>237.90195699999998</v>
      </c>
      <c r="E140" s="799">
        <f t="shared" si="6"/>
        <v>2.4453879996757997</v>
      </c>
      <c r="F140" s="799">
        <f>IF(SUM($D$29:$D$31)=0,0,D140/SUM($D$29:D$31)*100)</f>
        <v>8.3939488832885996</v>
      </c>
      <c r="G140" s="782">
        <f t="shared" si="7"/>
        <v>16.798767882438764</v>
      </c>
    </row>
    <row r="141" spans="2:9" x14ac:dyDescent="0.2">
      <c r="B141" s="797"/>
      <c r="C141" s="800" t="s">
        <v>521</v>
      </c>
      <c r="D141" s="781">
        <v>0</v>
      </c>
      <c r="E141" s="799">
        <f t="shared" si="6"/>
        <v>0</v>
      </c>
      <c r="F141" s="799">
        <f>IF(SUM($D$29:$D$31)=0,0,D141/SUM($D$29:D$31)*100)</f>
        <v>0</v>
      </c>
      <c r="G141" s="782">
        <f t="shared" si="7"/>
        <v>0</v>
      </c>
    </row>
    <row r="142" spans="2:9" x14ac:dyDescent="0.2">
      <c r="B142" s="797"/>
      <c r="C142" s="800" t="s">
        <v>522</v>
      </c>
      <c r="D142" s="781">
        <v>3.4021840000000001</v>
      </c>
      <c r="E142" s="799">
        <f t="shared" si="6"/>
        <v>3.4970960437660507E-2</v>
      </c>
      <c r="F142" s="799">
        <f>IF(SUM($D$29:$D$31)=0,0,D142/SUM($D$29:D$31)*100)</f>
        <v>0.12004003223707127</v>
      </c>
      <c r="G142" s="782">
        <f t="shared" si="7"/>
        <v>0.24023551563027726</v>
      </c>
    </row>
    <row r="143" spans="2:9" x14ac:dyDescent="0.2">
      <c r="B143" s="797"/>
      <c r="C143" s="800" t="s">
        <v>523</v>
      </c>
      <c r="D143" s="781">
        <v>1.007835</v>
      </c>
      <c r="E143" s="799">
        <f t="shared" si="6"/>
        <v>1.0359509630487235E-2</v>
      </c>
      <c r="F143" s="799">
        <f>IF(SUM($D$29:$D$31)=0,0,D143/SUM($D$29:D$31)*100)</f>
        <v>3.5559671637292026E-2</v>
      </c>
      <c r="G143" s="782">
        <f t="shared" si="7"/>
        <v>7.1165392846254186E-2</v>
      </c>
    </row>
    <row r="144" spans="2:9" x14ac:dyDescent="0.2">
      <c r="B144" s="797"/>
      <c r="C144" s="800" t="s">
        <v>524</v>
      </c>
      <c r="D144" s="781">
        <v>3.007161</v>
      </c>
      <c r="E144" s="799">
        <f t="shared" si="6"/>
        <v>3.0910529342526923E-2</v>
      </c>
      <c r="F144" s="799">
        <f>IF(SUM($D$29:$D$31)=0,0,D144/SUM($D$29:D$31)*100)</f>
        <v>0.10610234584080798</v>
      </c>
      <c r="G144" s="782">
        <f t="shared" si="7"/>
        <v>0.21234209361347306</v>
      </c>
    </row>
    <row r="145" spans="2:9" x14ac:dyDescent="0.2">
      <c r="B145" s="797"/>
      <c r="C145" s="800" t="s">
        <v>525</v>
      </c>
      <c r="D145" s="781">
        <v>60.602086</v>
      </c>
      <c r="E145" s="799">
        <f t="shared" si="6"/>
        <v>0.62292725847446806</v>
      </c>
      <c r="F145" s="799">
        <f>IF(SUM($D$29:$D$31)=0,0,D145/SUM($D$29:D$31)*100)</f>
        <v>2.1382371903088617</v>
      </c>
      <c r="G145" s="782">
        <f t="shared" si="7"/>
        <v>4.2792433855665664</v>
      </c>
    </row>
    <row r="146" spans="2:9" x14ac:dyDescent="0.2">
      <c r="B146" s="797"/>
      <c r="C146" s="800" t="s">
        <v>526</v>
      </c>
      <c r="D146" s="781">
        <v>6.6748080000000005</v>
      </c>
      <c r="E146" s="799">
        <f t="shared" si="6"/>
        <v>6.8610177020696092E-2</v>
      </c>
      <c r="F146" s="799">
        <f>IF(SUM($D$29:$D$31)=0,0,D146/SUM($D$29:D$31)*100)</f>
        <v>0.23550876951283681</v>
      </c>
      <c r="G146" s="782">
        <f t="shared" si="7"/>
        <v>0.47132252153707732</v>
      </c>
    </row>
    <row r="147" spans="2:9" x14ac:dyDescent="0.2">
      <c r="B147" s="797"/>
      <c r="C147" s="800" t="s">
        <v>527</v>
      </c>
      <c r="D147" s="781">
        <v>0</v>
      </c>
      <c r="E147" s="799">
        <f t="shared" si="6"/>
        <v>0</v>
      </c>
      <c r="F147" s="799">
        <f>IF(SUM($D$29:$D$31)=0,0,D147/SUM($D$29:D$31)*100)</f>
        <v>0</v>
      </c>
      <c r="G147" s="782">
        <f t="shared" si="7"/>
        <v>0</v>
      </c>
    </row>
    <row r="148" spans="2:9" x14ac:dyDescent="0.2">
      <c r="B148" s="797"/>
      <c r="C148" s="801" t="s">
        <v>528</v>
      </c>
      <c r="D148" s="781">
        <v>0</v>
      </c>
      <c r="E148" s="799">
        <f t="shared" si="6"/>
        <v>0</v>
      </c>
      <c r="F148" s="799">
        <f>IF(SUM($D$29:$D$31)=0,0,D148/SUM($D$29:D$31)*100)</f>
        <v>0</v>
      </c>
      <c r="G148" s="782">
        <f t="shared" si="7"/>
        <v>0</v>
      </c>
    </row>
    <row r="149" spans="2:9" x14ac:dyDescent="0.2">
      <c r="B149" s="797"/>
      <c r="C149" s="801" t="s">
        <v>529</v>
      </c>
      <c r="D149" s="781">
        <v>0</v>
      </c>
      <c r="E149" s="799">
        <f t="shared" si="6"/>
        <v>0</v>
      </c>
      <c r="F149" s="799">
        <f>IF(SUM($D$29:$D$31)=0,0,D149/SUM($D$29:D$31)*100)</f>
        <v>0</v>
      </c>
      <c r="G149" s="782">
        <f t="shared" si="7"/>
        <v>0</v>
      </c>
    </row>
    <row r="150" spans="2:9" x14ac:dyDescent="0.2">
      <c r="B150" s="797"/>
      <c r="C150" s="801" t="s">
        <v>530</v>
      </c>
      <c r="D150" s="781">
        <v>0</v>
      </c>
      <c r="E150" s="799">
        <f t="shared" si="6"/>
        <v>0</v>
      </c>
      <c r="F150" s="799">
        <f>IF(SUM($D$29:$D$31)=0,0,D150/SUM($D$29:D$31)*100)</f>
        <v>0</v>
      </c>
      <c r="G150" s="782">
        <f t="shared" si="7"/>
        <v>0</v>
      </c>
    </row>
    <row r="151" spans="2:9" x14ac:dyDescent="0.2">
      <c r="B151" s="797"/>
      <c r="C151" s="801" t="s">
        <v>531</v>
      </c>
      <c r="D151" s="781">
        <v>0</v>
      </c>
      <c r="E151" s="799">
        <f t="shared" si="6"/>
        <v>0</v>
      </c>
      <c r="F151" s="799">
        <f>IF(SUM($D$29:$D$31)=0,0,D151/SUM($D$29:D$31)*100)</f>
        <v>0</v>
      </c>
      <c r="G151" s="782">
        <f t="shared" si="7"/>
        <v>0</v>
      </c>
    </row>
    <row r="152" spans="2:9" x14ac:dyDescent="0.2">
      <c r="B152" s="797"/>
      <c r="C152" s="801" t="s">
        <v>532</v>
      </c>
      <c r="D152" s="781">
        <v>849.52630899999997</v>
      </c>
      <c r="E152" s="799">
        <f t="shared" si="6"/>
        <v>8.7322587322704344</v>
      </c>
      <c r="F152" s="799">
        <f>IF(SUM($D$29:$D$31)=0,0,D152/SUM($D$29:D$31)*100)</f>
        <v>29.974030069684698</v>
      </c>
      <c r="G152" s="782">
        <f t="shared" si="7"/>
        <v>59.986876337112051</v>
      </c>
    </row>
    <row r="153" spans="2:9" x14ac:dyDescent="0.2">
      <c r="B153" s="797"/>
      <c r="C153" s="801" t="s">
        <v>533</v>
      </c>
      <c r="D153" s="781">
        <v>0</v>
      </c>
      <c r="E153" s="799">
        <f t="shared" si="6"/>
        <v>0</v>
      </c>
      <c r="F153" s="799">
        <f>IF(SUM($D$29:$D$31)=0,0,D153/SUM($D$29:D$31)*100)</f>
        <v>0</v>
      </c>
      <c r="G153" s="782">
        <f t="shared" si="7"/>
        <v>0</v>
      </c>
    </row>
    <row r="154" spans="2:9" x14ac:dyDescent="0.2">
      <c r="B154" s="797"/>
      <c r="C154" s="801" t="s">
        <v>534</v>
      </c>
      <c r="D154" s="781">
        <v>12.586361999999998</v>
      </c>
      <c r="E154" s="799">
        <f t="shared" si="6"/>
        <v>0.12937488611905573</v>
      </c>
      <c r="F154" s="799">
        <f>IF(SUM($D$29:$D$31)=0,0,D154/SUM($D$29:D$31)*100)</f>
        <v>0.44408747446565161</v>
      </c>
      <c r="G154" s="782">
        <f t="shared" si="7"/>
        <v>0.88875003967431709</v>
      </c>
      <c r="I154" s="806"/>
    </row>
    <row r="155" spans="2:9" x14ac:dyDescent="0.2">
      <c r="B155" s="797"/>
      <c r="C155" s="801" t="s">
        <v>535</v>
      </c>
      <c r="D155" s="781">
        <v>1.046603</v>
      </c>
      <c r="E155" s="799">
        <f t="shared" si="6"/>
        <v>1.0758004889487693E-2</v>
      </c>
      <c r="F155" s="799">
        <f>IF(SUM($D$29:$D$31)=0,0,D155/SUM($D$29:D$31)*100)</f>
        <v>3.6927531802928792E-2</v>
      </c>
      <c r="G155" s="782">
        <f t="shared" si="7"/>
        <v>7.3902884548629658E-2</v>
      </c>
      <c r="I155" s="806"/>
    </row>
    <row r="156" spans="2:9" x14ac:dyDescent="0.2">
      <c r="B156" s="797"/>
      <c r="C156" s="801" t="s">
        <v>536</v>
      </c>
      <c r="D156" s="781">
        <v>13.504486999999999</v>
      </c>
      <c r="E156" s="799">
        <f t="shared" si="6"/>
        <v>0.13881226900364607</v>
      </c>
      <c r="F156" s="799">
        <f>IF(SUM($D$29:$D$31)=0,0,D156/SUM($D$29:D$31)*100)</f>
        <v>0.47648188775948325</v>
      </c>
      <c r="G156" s="782">
        <f t="shared" si="7"/>
        <v>0.95358081684217422</v>
      </c>
      <c r="I156" s="806"/>
    </row>
    <row r="157" spans="2:9" x14ac:dyDescent="0.2">
      <c r="B157" s="797"/>
      <c r="C157" s="801" t="s">
        <v>537</v>
      </c>
      <c r="D157" s="781">
        <v>2.8134410000000001</v>
      </c>
      <c r="E157" s="799">
        <f t="shared" si="6"/>
        <v>2.8919286524389045E-2</v>
      </c>
      <c r="F157" s="799">
        <f>IF(SUM($D$29:$D$31)=0,0,D157/SUM($D$29:D$31)*100)</f>
        <v>9.9267278999930056E-2</v>
      </c>
      <c r="G157" s="782">
        <f t="shared" si="7"/>
        <v>0.19866310855919692</v>
      </c>
      <c r="I157" s="806"/>
    </row>
    <row r="158" spans="2:9" x14ac:dyDescent="0.2">
      <c r="B158" s="797"/>
      <c r="C158" s="801" t="s">
        <v>538</v>
      </c>
      <c r="D158" s="781">
        <v>27.907717999999999</v>
      </c>
      <c r="E158" s="799">
        <f t="shared" si="6"/>
        <v>0.28686270409930387</v>
      </c>
      <c r="F158" s="799">
        <f>IF(SUM($D$29:$D$31)=0,0,D158/SUM($D$29:D$31)*100)</f>
        <v>0.9846743645796624</v>
      </c>
      <c r="G158" s="782">
        <f t="shared" si="7"/>
        <v>1.9706238768374578</v>
      </c>
      <c r="I158" s="806"/>
    </row>
    <row r="159" spans="2:9" x14ac:dyDescent="0.2">
      <c r="B159" s="797"/>
      <c r="C159" s="801" t="s">
        <v>539</v>
      </c>
      <c r="D159" s="781">
        <v>0</v>
      </c>
      <c r="E159" s="799">
        <f t="shared" si="6"/>
        <v>0</v>
      </c>
      <c r="F159" s="799">
        <f>IF(SUM($D$29:$D$31)=0,0,D159/SUM($D$29:D$31)*100)</f>
        <v>0</v>
      </c>
      <c r="G159" s="782">
        <f t="shared" si="7"/>
        <v>0</v>
      </c>
      <c r="I159" s="806"/>
    </row>
    <row r="160" spans="2:9" x14ac:dyDescent="0.2">
      <c r="B160" s="797"/>
      <c r="C160" s="801" t="s">
        <v>540</v>
      </c>
      <c r="D160" s="781">
        <v>0</v>
      </c>
      <c r="E160" s="799">
        <f t="shared" si="6"/>
        <v>0</v>
      </c>
      <c r="F160" s="799">
        <f>IF(SUM($D$29:$D$31)=0,0,D160/SUM($D$29:D$31)*100)</f>
        <v>0</v>
      </c>
      <c r="G160" s="782">
        <f t="shared" si="7"/>
        <v>0</v>
      </c>
      <c r="I160" s="806"/>
    </row>
    <row r="161" spans="2:9" x14ac:dyDescent="0.2">
      <c r="B161" s="797"/>
      <c r="C161" s="801" t="s">
        <v>541</v>
      </c>
      <c r="D161" s="781">
        <v>0</v>
      </c>
      <c r="E161" s="799">
        <f t="shared" si="6"/>
        <v>0</v>
      </c>
      <c r="F161" s="799">
        <f>IF(SUM($D$29:$D$31)=0,0,D161/SUM($D$29:D$31)*100)</f>
        <v>0</v>
      </c>
      <c r="G161" s="782">
        <f t="shared" si="7"/>
        <v>0</v>
      </c>
      <c r="I161" s="806"/>
    </row>
    <row r="162" spans="2:9" x14ac:dyDescent="0.2">
      <c r="B162" s="797"/>
      <c r="C162" s="801" t="s">
        <v>542</v>
      </c>
      <c r="D162" s="781">
        <v>0</v>
      </c>
      <c r="E162" s="799">
        <f t="shared" si="6"/>
        <v>0</v>
      </c>
      <c r="F162" s="799">
        <f>IF(SUM($D$29:$D$31)=0,0,D162/SUM($D$29:D$31)*100)</f>
        <v>0</v>
      </c>
      <c r="G162" s="782">
        <f t="shared" si="7"/>
        <v>0</v>
      </c>
      <c r="I162" s="806"/>
    </row>
    <row r="163" spans="2:9" x14ac:dyDescent="0.2">
      <c r="B163" s="797"/>
      <c r="C163" s="801" t="s">
        <v>543</v>
      </c>
      <c r="D163" s="781">
        <v>2.1834690000000001</v>
      </c>
      <c r="E163" s="799">
        <f t="shared" si="6"/>
        <v>2.2443820797422524E-2</v>
      </c>
      <c r="F163" s="799">
        <f>IF(SUM($D$29:$D$31)=0,0,D163/SUM($D$29:D$31)*100)</f>
        <v>7.7039833574152894E-2</v>
      </c>
      <c r="G163" s="782">
        <f t="shared" si="7"/>
        <v>0.15417943329276895</v>
      </c>
      <c r="I163" s="806"/>
    </row>
    <row r="164" spans="2:9" x14ac:dyDescent="0.2">
      <c r="B164" s="797"/>
      <c r="C164" s="801" t="s">
        <v>544</v>
      </c>
      <c r="D164" s="781">
        <v>1.1392990000000001</v>
      </c>
      <c r="E164" s="799">
        <f t="shared" si="6"/>
        <v>1.1710824651361062E-2</v>
      </c>
      <c r="F164" s="799">
        <f>IF(SUM($D$29:$D$31)=0,0,D164/SUM($D$29:D$31)*100)</f>
        <v>4.0198145863851883E-2</v>
      </c>
      <c r="G164" s="782">
        <f t="shared" si="7"/>
        <v>8.0448348097004532E-2</v>
      </c>
      <c r="I164" s="806"/>
    </row>
    <row r="165" spans="2:9" x14ac:dyDescent="0.2">
      <c r="B165" s="797"/>
      <c r="C165" s="801" t="s">
        <v>545</v>
      </c>
      <c r="D165" s="781">
        <v>0</v>
      </c>
      <c r="E165" s="799">
        <f t="shared" si="6"/>
        <v>0</v>
      </c>
      <c r="F165" s="799">
        <f>IF(SUM($D$29:$D$31)=0,0,D165/SUM($D$29:D$31)*100)</f>
        <v>0</v>
      </c>
      <c r="G165" s="782">
        <f t="shared" si="7"/>
        <v>0</v>
      </c>
    </row>
    <row r="166" spans="2:9" x14ac:dyDescent="0.2">
      <c r="B166" s="797"/>
      <c r="C166" s="801" t="s">
        <v>546</v>
      </c>
      <c r="D166" s="781">
        <v>9.8988130000000005</v>
      </c>
      <c r="E166" s="799">
        <f t="shared" si="6"/>
        <v>0.1017496401731357</v>
      </c>
      <c r="F166" s="799">
        <f>IF(SUM($D$29:$D$31)=0,0,D166/SUM($D$29:D$31)*100)</f>
        <v>0.34926207154837602</v>
      </c>
      <c r="G166" s="782">
        <f t="shared" si="7"/>
        <v>0.69897643548458621</v>
      </c>
    </row>
    <row r="167" spans="2:9" x14ac:dyDescent="0.2">
      <c r="B167" s="802"/>
      <c r="C167" s="803" t="s">
        <v>547</v>
      </c>
      <c r="D167" s="804">
        <v>0</v>
      </c>
      <c r="E167" s="805">
        <f t="shared" si="6"/>
        <v>0</v>
      </c>
      <c r="F167" s="805">
        <f>IF(SUM($D$29:$D$31)=0,0,D167/SUM($D$29:D$31)*100)</f>
        <v>0</v>
      </c>
      <c r="G167" s="785">
        <f t="shared" si="7"/>
        <v>0</v>
      </c>
    </row>
    <row r="168" spans="2:9" x14ac:dyDescent="0.2">
      <c r="D168" s="788"/>
    </row>
    <row r="169" spans="2:9" x14ac:dyDescent="0.2">
      <c r="D169" s="788"/>
    </row>
    <row r="170" spans="2:9" x14ac:dyDescent="0.2">
      <c r="B170" s="774" t="s">
        <v>548</v>
      </c>
      <c r="D170" s="788"/>
    </row>
    <row r="171" spans="2:9" x14ac:dyDescent="0.2">
      <c r="B171" s="774"/>
      <c r="D171" s="788"/>
    </row>
    <row r="172" spans="2:9" ht="38.25" x14ac:dyDescent="0.2">
      <c r="B172" s="790"/>
      <c r="C172" s="791" t="s">
        <v>512</v>
      </c>
      <c r="D172" s="792" t="s">
        <v>513</v>
      </c>
      <c r="E172" s="792" t="s">
        <v>514</v>
      </c>
      <c r="F172" s="792" t="s">
        <v>515</v>
      </c>
      <c r="G172" s="793" t="s">
        <v>516</v>
      </c>
    </row>
    <row r="173" spans="2:9" x14ac:dyDescent="0.2">
      <c r="B173" s="794" t="s">
        <v>501</v>
      </c>
      <c r="C173" s="795" t="s">
        <v>517</v>
      </c>
      <c r="D173" s="779">
        <v>0</v>
      </c>
      <c r="E173" s="796">
        <f>IF($C$4=0,0,D173/$C$4*100)</f>
        <v>0</v>
      </c>
      <c r="F173" s="796">
        <f>IF(SUM($D$14:$D$16)=0,0,D173/SUM($D$14:D$16)*100)</f>
        <v>0</v>
      </c>
      <c r="G173" s="780">
        <f>IF($D$15=0,0,D173/$D$15*100)</f>
        <v>0</v>
      </c>
    </row>
    <row r="174" spans="2:9" x14ac:dyDescent="0.2">
      <c r="B174" s="797"/>
      <c r="C174" s="798" t="s">
        <v>987</v>
      </c>
      <c r="D174" s="781">
        <v>1</v>
      </c>
      <c r="E174" s="799">
        <f t="shared" ref="E174:E204" si="8">IF($C$4=0,0,D174/$C$4*100)</f>
        <v>9.416076997964401E-3</v>
      </c>
      <c r="F174" s="799">
        <f>IF(SUM($D$14:$D$16)=0,0,D174/SUM($D$14:D$16)*100)</f>
        <v>1.7042606568059247E-2</v>
      </c>
      <c r="G174" s="782">
        <f t="shared" ref="G174:G204" si="9">IF($D$15=0,0,D174/$D$15*100)</f>
        <v>2.3483321022906786E-2</v>
      </c>
    </row>
    <row r="175" spans="2:9" x14ac:dyDescent="0.2">
      <c r="B175" s="797"/>
      <c r="C175" s="800" t="s">
        <v>518</v>
      </c>
      <c r="D175" s="781">
        <v>48.548180000000002</v>
      </c>
      <c r="E175" s="799">
        <f t="shared" si="8"/>
        <v>0.45713340099103539</v>
      </c>
      <c r="F175" s="799">
        <f>IF(SUM($D$14:$D$16)=0,0,D175/SUM($D$14:D$16)*100)</f>
        <v>0.82738753133532272</v>
      </c>
      <c r="G175" s="782">
        <f t="shared" si="9"/>
        <v>1.1400724960178628</v>
      </c>
    </row>
    <row r="176" spans="2:9" x14ac:dyDescent="0.2">
      <c r="B176" s="797"/>
      <c r="C176" s="800" t="s">
        <v>519</v>
      </c>
      <c r="D176" s="781">
        <v>30.993338999999999</v>
      </c>
      <c r="E176" s="799">
        <f t="shared" si="8"/>
        <v>0.29183566644801295</v>
      </c>
      <c r="F176" s="799">
        <f>IF(SUM($D$14:$D$16)=0,0,D176/SUM($D$14:D$16)*100)</f>
        <v>0.52820728280748686</v>
      </c>
      <c r="G176" s="782">
        <f t="shared" si="9"/>
        <v>0.72782652930877678</v>
      </c>
    </row>
    <row r="177" spans="2:7" x14ac:dyDescent="0.2">
      <c r="B177" s="797"/>
      <c r="C177" s="800" t="s">
        <v>520</v>
      </c>
      <c r="D177" s="781">
        <v>956.2633780000001</v>
      </c>
      <c r="E177" s="799">
        <f t="shared" si="8"/>
        <v>9.0042495975815378</v>
      </c>
      <c r="F177" s="799">
        <f>IF(SUM($D$14:$D$16)=0,0,D177/SUM($D$14:D$16)*100)</f>
        <v>16.297220526697327</v>
      </c>
      <c r="G177" s="782">
        <f t="shared" si="9"/>
        <v>22.456239888023262</v>
      </c>
    </row>
    <row r="178" spans="2:7" x14ac:dyDescent="0.2">
      <c r="B178" s="797"/>
      <c r="C178" s="800" t="s">
        <v>521</v>
      </c>
      <c r="D178" s="781">
        <v>0</v>
      </c>
      <c r="E178" s="799">
        <f t="shared" si="8"/>
        <v>0</v>
      </c>
      <c r="F178" s="799">
        <f>IF(SUM($D$14:$D$16)=0,0,D178/SUM($D$14:D$16)*100)</f>
        <v>0</v>
      </c>
      <c r="G178" s="782">
        <f t="shared" si="9"/>
        <v>0</v>
      </c>
    </row>
    <row r="179" spans="2:7" x14ac:dyDescent="0.2">
      <c r="B179" s="797"/>
      <c r="C179" s="800" t="s">
        <v>522</v>
      </c>
      <c r="D179" s="781">
        <v>1129.8458800000001</v>
      </c>
      <c r="E179" s="799">
        <f t="shared" si="8"/>
        <v>10.638715801912847</v>
      </c>
      <c r="F179" s="799">
        <f>IF(SUM($D$14:$D$16)=0,0,D179/SUM($D$14:D$16)*100)</f>
        <v>19.255518815382683</v>
      </c>
      <c r="G179" s="782">
        <f t="shared" si="9"/>
        <v>26.532533506448619</v>
      </c>
    </row>
    <row r="180" spans="2:7" x14ac:dyDescent="0.2">
      <c r="B180" s="797"/>
      <c r="C180" s="800" t="s">
        <v>523</v>
      </c>
      <c r="D180" s="781">
        <v>1</v>
      </c>
      <c r="E180" s="799">
        <f t="shared" si="8"/>
        <v>9.416076997964401E-3</v>
      </c>
      <c r="F180" s="799">
        <f>IF(SUM($D$14:$D$16)=0,0,D180/SUM($D$14:D$16)*100)</f>
        <v>1.7042606568059247E-2</v>
      </c>
      <c r="G180" s="782">
        <f t="shared" si="9"/>
        <v>2.3483321022906786E-2</v>
      </c>
    </row>
    <row r="181" spans="2:7" x14ac:dyDescent="0.2">
      <c r="B181" s="797"/>
      <c r="C181" s="800" t="s">
        <v>524</v>
      </c>
      <c r="D181" s="781">
        <v>241.932299</v>
      </c>
      <c r="E181" s="799">
        <f t="shared" si="8"/>
        <v>2.2780531556785459</v>
      </c>
      <c r="F181" s="799">
        <f>IF(SUM($D$14:$D$16)=0,0,D181/SUM($D$14:D$16)*100)</f>
        <v>4.1231569879630738</v>
      </c>
      <c r="G181" s="782">
        <f t="shared" si="9"/>
        <v>5.6813738432268703</v>
      </c>
    </row>
    <row r="182" spans="2:7" x14ac:dyDescent="0.2">
      <c r="B182" s="797"/>
      <c r="C182" s="800" t="s">
        <v>525</v>
      </c>
      <c r="D182" s="781">
        <v>474.73046899999997</v>
      </c>
      <c r="E182" s="799">
        <f t="shared" si="8"/>
        <v>4.4700986493837513</v>
      </c>
      <c r="F182" s="799">
        <f>IF(SUM($D$14:$D$16)=0,0,D182/SUM($D$14:D$16)*100)</f>
        <v>8.0906446090372466</v>
      </c>
      <c r="G182" s="782">
        <f t="shared" si="9"/>
        <v>11.148248002882099</v>
      </c>
    </row>
    <row r="183" spans="2:7" x14ac:dyDescent="0.2">
      <c r="B183" s="797"/>
      <c r="C183" s="800" t="s">
        <v>526</v>
      </c>
      <c r="D183" s="781">
        <v>520.59884100000011</v>
      </c>
      <c r="E183" s="799">
        <f t="shared" si="8"/>
        <v>4.9019987719070279</v>
      </c>
      <c r="F183" s="799">
        <f>IF(SUM($D$14:$D$16)=0,0,D183/SUM($D$14:D$16)*100)</f>
        <v>8.872361226950634</v>
      </c>
      <c r="G183" s="782">
        <f t="shared" si="9"/>
        <v>12.225389707356211</v>
      </c>
    </row>
    <row r="184" spans="2:7" x14ac:dyDescent="0.2">
      <c r="B184" s="797"/>
      <c r="C184" s="800" t="s">
        <v>527</v>
      </c>
      <c r="D184" s="781">
        <v>0</v>
      </c>
      <c r="E184" s="799">
        <f t="shared" si="8"/>
        <v>0</v>
      </c>
      <c r="F184" s="799">
        <f>IF(SUM($D$14:$D$16)=0,0,D184/SUM($D$14:D$16)*100)</f>
        <v>0</v>
      </c>
      <c r="G184" s="782">
        <f t="shared" si="9"/>
        <v>0</v>
      </c>
    </row>
    <row r="185" spans="2:7" x14ac:dyDescent="0.2">
      <c r="B185" s="797"/>
      <c r="C185" s="801" t="s">
        <v>528</v>
      </c>
      <c r="D185" s="781">
        <v>0</v>
      </c>
      <c r="E185" s="799">
        <f t="shared" si="8"/>
        <v>0</v>
      </c>
      <c r="F185" s="799">
        <f>IF(SUM($D$14:$D$16)=0,0,D185/SUM($D$14:D$16)*100)</f>
        <v>0</v>
      </c>
      <c r="G185" s="782">
        <f t="shared" si="9"/>
        <v>0</v>
      </c>
    </row>
    <row r="186" spans="2:7" x14ac:dyDescent="0.2">
      <c r="B186" s="797"/>
      <c r="C186" s="801" t="s">
        <v>529</v>
      </c>
      <c r="D186" s="781">
        <v>0</v>
      </c>
      <c r="E186" s="799">
        <f t="shared" si="8"/>
        <v>0</v>
      </c>
      <c r="F186" s="799">
        <f>IF(SUM($D$14:$D$16)=0,0,D186/SUM($D$14:D$16)*100)</f>
        <v>0</v>
      </c>
      <c r="G186" s="782">
        <f t="shared" si="9"/>
        <v>0</v>
      </c>
    </row>
    <row r="187" spans="2:7" x14ac:dyDescent="0.2">
      <c r="B187" s="797"/>
      <c r="C187" s="801" t="s">
        <v>530</v>
      </c>
      <c r="D187" s="781">
        <v>0</v>
      </c>
      <c r="E187" s="799">
        <f t="shared" si="8"/>
        <v>0</v>
      </c>
      <c r="F187" s="799">
        <f>IF(SUM($D$14:$D$16)=0,0,D187/SUM($D$14:D$16)*100)</f>
        <v>0</v>
      </c>
      <c r="G187" s="782">
        <f t="shared" si="9"/>
        <v>0</v>
      </c>
    </row>
    <row r="188" spans="2:7" x14ac:dyDescent="0.2">
      <c r="B188" s="797"/>
      <c r="C188" s="801" t="s">
        <v>531</v>
      </c>
      <c r="D188" s="781">
        <v>0</v>
      </c>
      <c r="E188" s="799">
        <f t="shared" si="8"/>
        <v>0</v>
      </c>
      <c r="F188" s="799">
        <f>IF(SUM($D$14:$D$16)=0,0,D188/SUM($D$14:D$16)*100)</f>
        <v>0</v>
      </c>
      <c r="G188" s="782">
        <f t="shared" si="9"/>
        <v>0</v>
      </c>
    </row>
    <row r="189" spans="2:7" x14ac:dyDescent="0.2">
      <c r="B189" s="797"/>
      <c r="C189" s="801" t="s">
        <v>532</v>
      </c>
      <c r="D189" s="781">
        <v>429.58589999999998</v>
      </c>
      <c r="E189" s="799">
        <f t="shared" si="8"/>
        <v>4.0450139116398356</v>
      </c>
      <c r="F189" s="799">
        <f>IF(SUM($D$14:$D$16)=0,0,D189/SUM($D$14:D$16)*100)</f>
        <v>7.3212634808856425</v>
      </c>
      <c r="G189" s="782">
        <f t="shared" si="9"/>
        <v>10.088103596614333</v>
      </c>
    </row>
    <row r="190" spans="2:7" x14ac:dyDescent="0.2">
      <c r="B190" s="797"/>
      <c r="C190" s="801" t="s">
        <v>533</v>
      </c>
      <c r="D190" s="781">
        <v>0</v>
      </c>
      <c r="E190" s="799">
        <f t="shared" si="8"/>
        <v>0</v>
      </c>
      <c r="F190" s="799">
        <f>IF(SUM($D$14:$D$16)=0,0,D190/SUM($D$14:D$16)*100)</f>
        <v>0</v>
      </c>
      <c r="G190" s="782">
        <f t="shared" si="9"/>
        <v>0</v>
      </c>
    </row>
    <row r="191" spans="2:7" x14ac:dyDescent="0.2">
      <c r="B191" s="797"/>
      <c r="C191" s="801" t="s">
        <v>534</v>
      </c>
      <c r="D191" s="781">
        <v>1151.496191</v>
      </c>
      <c r="E191" s="799">
        <f t="shared" si="8"/>
        <v>10.842576797318722</v>
      </c>
      <c r="F191" s="799">
        <f>IF(SUM($D$14:$D$16)=0,0,D191/SUM($D$14:D$16)*100)</f>
        <v>19.624496547831804</v>
      </c>
      <c r="G191" s="782">
        <f t="shared" si="9"/>
        <v>27.040954709907389</v>
      </c>
    </row>
    <row r="192" spans="2:7" x14ac:dyDescent="0.2">
      <c r="B192" s="797"/>
      <c r="C192" s="801" t="s">
        <v>535</v>
      </c>
      <c r="D192" s="781">
        <v>1.3830180000000001</v>
      </c>
      <c r="E192" s="799">
        <f t="shared" si="8"/>
        <v>1.302260397757073E-2</v>
      </c>
      <c r="F192" s="799">
        <f>IF(SUM($D$14:$D$16)=0,0,D192/SUM($D$14:D$16)*100)</f>
        <v>2.3570231650544168E-2</v>
      </c>
      <c r="G192" s="782">
        <f t="shared" si="9"/>
        <v>3.2477855674458503E-2</v>
      </c>
    </row>
    <row r="193" spans="2:7" x14ac:dyDescent="0.2">
      <c r="B193" s="797"/>
      <c r="C193" s="801" t="s">
        <v>536</v>
      </c>
      <c r="D193" s="781">
        <v>14.738098000000001</v>
      </c>
      <c r="E193" s="799">
        <f t="shared" si="8"/>
        <v>0.13877506557154515</v>
      </c>
      <c r="F193" s="799">
        <f>IF(SUM($D$14:$D$16)=0,0,D193/SUM($D$14:D$16)*100)</f>
        <v>0.25117560577550085</v>
      </c>
      <c r="G193" s="782">
        <f t="shared" si="9"/>
        <v>0.34609948660106049</v>
      </c>
    </row>
    <row r="194" spans="2:7" x14ac:dyDescent="0.2">
      <c r="B194" s="797"/>
      <c r="C194" s="801" t="s">
        <v>537</v>
      </c>
      <c r="D194" s="781">
        <v>39.956324000000002</v>
      </c>
      <c r="E194" s="799">
        <f t="shared" si="8"/>
        <v>0.37623182333961291</v>
      </c>
      <c r="F194" s="799">
        <f>IF(SUM($D$14:$D$16)=0,0,D194/SUM($D$14:D$16)*100)</f>
        <v>0.68095990983790344</v>
      </c>
      <c r="G194" s="782">
        <f t="shared" si="9"/>
        <v>0.93830718338727503</v>
      </c>
    </row>
    <row r="195" spans="2:7" x14ac:dyDescent="0.2">
      <c r="B195" s="797"/>
      <c r="C195" s="801" t="s">
        <v>538</v>
      </c>
      <c r="D195" s="781">
        <v>187.445414</v>
      </c>
      <c r="E195" s="799">
        <f t="shared" si="8"/>
        <v>1.7650004511393143</v>
      </c>
      <c r="F195" s="799">
        <f>IF(SUM($D$14:$D$16)=0,0,D195/SUM($D$14:D$16)*100)</f>
        <v>3.1945584437889849</v>
      </c>
      <c r="G195" s="782">
        <f t="shared" si="9"/>
        <v>4.4018408312336659</v>
      </c>
    </row>
    <row r="196" spans="2:7" x14ac:dyDescent="0.2">
      <c r="B196" s="797"/>
      <c r="C196" s="801" t="s">
        <v>539</v>
      </c>
      <c r="D196" s="781">
        <v>0</v>
      </c>
      <c r="E196" s="799">
        <f t="shared" si="8"/>
        <v>0</v>
      </c>
      <c r="F196" s="799">
        <f>IF(SUM($D$14:$D$16)=0,0,D196/SUM($D$14:D$16)*100)</f>
        <v>0</v>
      </c>
      <c r="G196" s="782">
        <f t="shared" si="9"/>
        <v>0</v>
      </c>
    </row>
    <row r="197" spans="2:7" x14ac:dyDescent="0.2">
      <c r="B197" s="797"/>
      <c r="C197" s="801" t="s">
        <v>540</v>
      </c>
      <c r="D197" s="781">
        <v>0</v>
      </c>
      <c r="E197" s="799">
        <f t="shared" si="8"/>
        <v>0</v>
      </c>
      <c r="F197" s="799">
        <f>IF(SUM($D$14:$D$16)=0,0,D197/SUM($D$14:D$16)*100)</f>
        <v>0</v>
      </c>
      <c r="G197" s="782">
        <f t="shared" si="9"/>
        <v>0</v>
      </c>
    </row>
    <row r="198" spans="2:7" x14ac:dyDescent="0.2">
      <c r="B198" s="797"/>
      <c r="C198" s="801" t="s">
        <v>541</v>
      </c>
      <c r="D198" s="781">
        <v>3.1016570000000003</v>
      </c>
      <c r="E198" s="799">
        <f t="shared" si="8"/>
        <v>2.9205441133275271E-2</v>
      </c>
      <c r="F198" s="799">
        <f>IF(SUM($D$14:$D$16)=0,0,D198/SUM($D$14:D$16)*100)</f>
        <v>5.2860319960066952E-2</v>
      </c>
      <c r="G198" s="782">
        <f t="shared" si="9"/>
        <v>7.2837207033946E-2</v>
      </c>
    </row>
    <row r="199" spans="2:7" x14ac:dyDescent="0.2">
      <c r="B199" s="797"/>
      <c r="C199" s="801" t="s">
        <v>542</v>
      </c>
      <c r="D199" s="781">
        <v>0</v>
      </c>
      <c r="E199" s="799">
        <f t="shared" si="8"/>
        <v>0</v>
      </c>
      <c r="F199" s="799">
        <f>IF(SUM($D$14:$D$16)=0,0,D199/SUM($D$14:D$16)*100)</f>
        <v>0</v>
      </c>
      <c r="G199" s="782">
        <f t="shared" si="9"/>
        <v>0</v>
      </c>
    </row>
    <row r="200" spans="2:7" x14ac:dyDescent="0.2">
      <c r="B200" s="797"/>
      <c r="C200" s="801" t="s">
        <v>543</v>
      </c>
      <c r="D200" s="781">
        <v>572.98255100000006</v>
      </c>
      <c r="E200" s="799">
        <f t="shared" si="8"/>
        <v>5.3952478187060651</v>
      </c>
      <c r="F200" s="799">
        <f>IF(SUM($D$14:$D$16)=0,0,D200/SUM($D$14:D$16)*100)</f>
        <v>9.7651161870559449</v>
      </c>
      <c r="G200" s="782">
        <f t="shared" si="9"/>
        <v>13.455533185657062</v>
      </c>
    </row>
    <row r="201" spans="2:7" x14ac:dyDescent="0.2">
      <c r="B201" s="797"/>
      <c r="C201" s="801" t="s">
        <v>544</v>
      </c>
      <c r="D201" s="781">
        <v>528.48092999999994</v>
      </c>
      <c r="E201" s="799">
        <f t="shared" si="8"/>
        <v>4.9762171288358337</v>
      </c>
      <c r="F201" s="799">
        <f>IF(SUM($D$14:$D$16)=0,0,D201/SUM($D$14:D$16)*100)</f>
        <v>9.006692568712058</v>
      </c>
      <c r="G201" s="782">
        <f t="shared" si="9"/>
        <v>12.410487333674329</v>
      </c>
    </row>
    <row r="202" spans="2:7" x14ac:dyDescent="0.2">
      <c r="B202" s="797"/>
      <c r="C202" s="801" t="s">
        <v>545</v>
      </c>
      <c r="D202" s="781">
        <v>0</v>
      </c>
      <c r="E202" s="799">
        <f t="shared" si="8"/>
        <v>0</v>
      </c>
      <c r="F202" s="799">
        <f>IF(SUM($D$14:$D$16)=0,0,D202/SUM($D$14:D$16)*100)</f>
        <v>0</v>
      </c>
      <c r="G202" s="782">
        <f t="shared" si="9"/>
        <v>0</v>
      </c>
    </row>
    <row r="203" spans="2:7" x14ac:dyDescent="0.2">
      <c r="B203" s="797"/>
      <c r="C203" s="801" t="s">
        <v>546</v>
      </c>
      <c r="D203" s="781">
        <v>4.160647</v>
      </c>
      <c r="E203" s="799">
        <f t="shared" si="8"/>
        <v>3.9176972513349589E-2</v>
      </c>
      <c r="F203" s="799">
        <f>IF(SUM($D$14:$D$16)=0,0,D203/SUM($D$14:D$16)*100)</f>
        <v>7.0908269889576006E-2</v>
      </c>
      <c r="G203" s="782">
        <f t="shared" si="9"/>
        <v>9.7705809163994045E-2</v>
      </c>
    </row>
    <row r="204" spans="2:7" x14ac:dyDescent="0.2">
      <c r="B204" s="802"/>
      <c r="C204" s="803" t="s">
        <v>547</v>
      </c>
      <c r="D204" s="804">
        <v>1</v>
      </c>
      <c r="E204" s="805">
        <f t="shared" si="8"/>
        <v>9.416076997964401E-3</v>
      </c>
      <c r="F204" s="805">
        <f>IF(SUM($D$14:$D$16)=0,0,D204/SUM($D$14:D$16)*100)</f>
        <v>1.7042606568059247E-2</v>
      </c>
      <c r="G204" s="785">
        <f t="shared" si="9"/>
        <v>2.3483321022906786E-2</v>
      </c>
    </row>
    <row r="205" spans="2:7" x14ac:dyDescent="0.2">
      <c r="D205" s="788"/>
      <c r="E205" s="789"/>
      <c r="F205" s="789"/>
      <c r="G205" s="789"/>
    </row>
    <row r="206" spans="2:7" x14ac:dyDescent="0.2">
      <c r="B206" s="794" t="s">
        <v>20</v>
      </c>
      <c r="C206" s="795" t="s">
        <v>517</v>
      </c>
      <c r="D206" s="779">
        <v>0</v>
      </c>
      <c r="E206" s="796">
        <f>IF($C$5=0,0,D206/$C$5*100)</f>
        <v>0</v>
      </c>
      <c r="F206" s="796">
        <f>IF(SUM($D$19:$D$21)=0,0,D206/SUM($D$19:D$21)*100)</f>
        <v>0</v>
      </c>
      <c r="G206" s="780">
        <f>IF($D$20=0,0,D206/$D$20*100)</f>
        <v>0</v>
      </c>
    </row>
    <row r="207" spans="2:7" x14ac:dyDescent="0.2">
      <c r="B207" s="797"/>
      <c r="C207" s="798" t="s">
        <v>987</v>
      </c>
      <c r="D207" s="781">
        <v>1</v>
      </c>
      <c r="E207" s="799">
        <f t="shared" ref="E207:E237" si="10">IF($C$5=0,0,D207/$C$5*100)</f>
        <v>4.924366330066153E-2</v>
      </c>
      <c r="F207" s="799">
        <f>IF(SUM($D$19:$D$21)=0,0,D207/SUM($D$19:D$21)*100)</f>
        <v>6.8208020789062629E-2</v>
      </c>
      <c r="G207" s="782">
        <f t="shared" ref="G207:G237" si="11">IF($D$20=0,0,D207/$D$20*100)</f>
        <v>0.10095428603667603</v>
      </c>
    </row>
    <row r="208" spans="2:7" x14ac:dyDescent="0.2">
      <c r="B208" s="797"/>
      <c r="C208" s="800" t="s">
        <v>518</v>
      </c>
      <c r="D208" s="781">
        <v>72.757345999999998</v>
      </c>
      <c r="E208" s="799">
        <f t="shared" si="10"/>
        <v>3.5828382490737329</v>
      </c>
      <c r="F208" s="799">
        <f>IF(SUM($D$19:$D$21)=0,0,D208/SUM($D$19:D$21)*100)</f>
        <v>4.962634568525023</v>
      </c>
      <c r="G208" s="782">
        <f t="shared" si="11"/>
        <v>7.3451659193534056</v>
      </c>
    </row>
    <row r="209" spans="2:7" x14ac:dyDescent="0.2">
      <c r="B209" s="797"/>
      <c r="C209" s="800" t="s">
        <v>519</v>
      </c>
      <c r="D209" s="781">
        <v>6.4129170000000002</v>
      </c>
      <c r="E209" s="799">
        <f t="shared" si="10"/>
        <v>0.31579552552308848</v>
      </c>
      <c r="F209" s="799">
        <f>IF(SUM($D$19:$D$21)=0,0,D209/SUM($D$19:D$21)*100)</f>
        <v>0.4374123760545332</v>
      </c>
      <c r="G209" s="782">
        <f t="shared" si="11"/>
        <v>0.64741145714746229</v>
      </c>
    </row>
    <row r="210" spans="2:7" x14ac:dyDescent="0.2">
      <c r="B210" s="797"/>
      <c r="C210" s="800" t="s">
        <v>520</v>
      </c>
      <c r="D210" s="781">
        <v>190.10352</v>
      </c>
      <c r="E210" s="799">
        <f t="shared" si="10"/>
        <v>9.3613937311505762</v>
      </c>
      <c r="F210" s="799">
        <f>IF(SUM($D$19:$D$21)=0,0,D210/SUM($D$19:D$21)*100)</f>
        <v>12.966584844233985</v>
      </c>
      <c r="G210" s="782">
        <f t="shared" si="11"/>
        <v>19.191765134658962</v>
      </c>
    </row>
    <row r="211" spans="2:7" x14ac:dyDescent="0.2">
      <c r="B211" s="797"/>
      <c r="C211" s="800" t="s">
        <v>521</v>
      </c>
      <c r="D211" s="781">
        <v>0</v>
      </c>
      <c r="E211" s="799">
        <f t="shared" si="10"/>
        <v>0</v>
      </c>
      <c r="F211" s="799">
        <f>IF(SUM($D$19:$D$21)=0,0,D211/SUM($D$19:D$21)*100)</f>
        <v>0</v>
      </c>
      <c r="G211" s="782">
        <f t="shared" si="11"/>
        <v>0</v>
      </c>
    </row>
    <row r="212" spans="2:7" x14ac:dyDescent="0.2">
      <c r="B212" s="797"/>
      <c r="C212" s="800" t="s">
        <v>522</v>
      </c>
      <c r="D212" s="781">
        <v>4.3439700000000006</v>
      </c>
      <c r="E212" s="799">
        <f t="shared" si="10"/>
        <v>0.21391299606817474</v>
      </c>
      <c r="F212" s="799">
        <f>IF(SUM($D$19:$D$21)=0,0,D212/SUM($D$19:D$21)*100)</f>
        <v>0.29629359606706446</v>
      </c>
      <c r="G212" s="782">
        <f t="shared" si="11"/>
        <v>0.43854238991473959</v>
      </c>
    </row>
    <row r="213" spans="2:7" x14ac:dyDescent="0.2">
      <c r="B213" s="797"/>
      <c r="C213" s="800" t="s">
        <v>523</v>
      </c>
      <c r="D213" s="781">
        <v>3</v>
      </c>
      <c r="E213" s="799">
        <f t="shared" si="10"/>
        <v>0.14773098990198461</v>
      </c>
      <c r="F213" s="799">
        <f>IF(SUM($D$19:$D$21)=0,0,D213/SUM($D$19:D$21)*100)</f>
        <v>0.20462406236718794</v>
      </c>
      <c r="G213" s="782">
        <f t="shared" si="11"/>
        <v>0.30286285811002805</v>
      </c>
    </row>
    <row r="214" spans="2:7" x14ac:dyDescent="0.2">
      <c r="B214" s="797"/>
      <c r="C214" s="800" t="s">
        <v>524</v>
      </c>
      <c r="D214" s="781">
        <v>122.595719</v>
      </c>
      <c r="E214" s="799">
        <f t="shared" si="10"/>
        <v>6.0370623085385144</v>
      </c>
      <c r="F214" s="799">
        <f>IF(SUM($D$19:$D$21)=0,0,D214/SUM($D$19:D$21)*100)</f>
        <v>8.3620113502020814</v>
      </c>
      <c r="G214" s="782">
        <f t="shared" si="11"/>
        <v>12.376563282797957</v>
      </c>
    </row>
    <row r="215" spans="2:7" x14ac:dyDescent="0.2">
      <c r="B215" s="797"/>
      <c r="C215" s="800" t="s">
        <v>525</v>
      </c>
      <c r="D215" s="781">
        <v>58.104899000000003</v>
      </c>
      <c r="E215" s="799">
        <f t="shared" si="10"/>
        <v>2.8612980824749452</v>
      </c>
      <c r="F215" s="799">
        <f>IF(SUM($D$19:$D$21)=0,0,D215/SUM($D$19:D$21)*100)</f>
        <v>3.9632201589383853</v>
      </c>
      <c r="G215" s="782">
        <f t="shared" si="11"/>
        <v>5.8659385937781705</v>
      </c>
    </row>
    <row r="216" spans="2:7" x14ac:dyDescent="0.2">
      <c r="B216" s="797"/>
      <c r="C216" s="800" t="s">
        <v>526</v>
      </c>
      <c r="D216" s="781">
        <v>3.464261</v>
      </c>
      <c r="E216" s="799">
        <f t="shared" si="10"/>
        <v>0.17059290226961302</v>
      </c>
      <c r="F216" s="799">
        <f>IF(SUM($D$19:$D$21)=0,0,D216/SUM($D$19:D$21)*100)</f>
        <v>0.23629038630673893</v>
      </c>
      <c r="G216" s="782">
        <f t="shared" si="11"/>
        <v>0.34973199589970128</v>
      </c>
    </row>
    <row r="217" spans="2:7" x14ac:dyDescent="0.2">
      <c r="B217" s="797"/>
      <c r="C217" s="800" t="s">
        <v>527</v>
      </c>
      <c r="D217" s="781">
        <v>0</v>
      </c>
      <c r="E217" s="799">
        <f t="shared" si="10"/>
        <v>0</v>
      </c>
      <c r="F217" s="799">
        <f>IF(SUM($D$19:$D$21)=0,0,D217/SUM($D$19:D$21)*100)</f>
        <v>0</v>
      </c>
      <c r="G217" s="782">
        <f t="shared" si="11"/>
        <v>0</v>
      </c>
    </row>
    <row r="218" spans="2:7" x14ac:dyDescent="0.2">
      <c r="B218" s="797"/>
      <c r="C218" s="801" t="s">
        <v>528</v>
      </c>
      <c r="D218" s="781">
        <v>0</v>
      </c>
      <c r="E218" s="799">
        <f t="shared" si="10"/>
        <v>0</v>
      </c>
      <c r="F218" s="799">
        <f>IF(SUM($D$19:$D$21)=0,0,D218/SUM($D$19:D$21)*100)</f>
        <v>0</v>
      </c>
      <c r="G218" s="782">
        <f t="shared" si="11"/>
        <v>0</v>
      </c>
    </row>
    <row r="219" spans="2:7" x14ac:dyDescent="0.2">
      <c r="B219" s="797"/>
      <c r="C219" s="801" t="s">
        <v>529</v>
      </c>
      <c r="D219" s="781">
        <v>2.0065429999999997</v>
      </c>
      <c r="E219" s="799">
        <f t="shared" si="10"/>
        <v>9.8809527890299273E-2</v>
      </c>
      <c r="F219" s="799">
        <f>IF(SUM($D$19:$D$21)=0,0,D219/SUM($D$19:D$21)*100)</f>
        <v>0.1368623266581481</v>
      </c>
      <c r="G219" s="782">
        <f t="shared" si="11"/>
        <v>0.20256911596688998</v>
      </c>
    </row>
    <row r="220" spans="2:7" x14ac:dyDescent="0.2">
      <c r="B220" s="797"/>
      <c r="C220" s="801" t="s">
        <v>530</v>
      </c>
      <c r="D220" s="781">
        <v>0</v>
      </c>
      <c r="E220" s="799">
        <f t="shared" si="10"/>
        <v>0</v>
      </c>
      <c r="F220" s="799">
        <f>IF(SUM($D$19:$D$21)=0,0,D220/SUM($D$19:D$21)*100)</f>
        <v>0</v>
      </c>
      <c r="G220" s="782">
        <f t="shared" si="11"/>
        <v>0</v>
      </c>
    </row>
    <row r="221" spans="2:7" x14ac:dyDescent="0.2">
      <c r="B221" s="797"/>
      <c r="C221" s="801" t="s">
        <v>531</v>
      </c>
      <c r="D221" s="781">
        <v>0</v>
      </c>
      <c r="E221" s="799">
        <f t="shared" si="10"/>
        <v>0</v>
      </c>
      <c r="F221" s="799">
        <f>IF(SUM($D$19:$D$21)=0,0,D221/SUM($D$19:D$21)*100)</f>
        <v>0</v>
      </c>
      <c r="G221" s="782">
        <f t="shared" si="11"/>
        <v>0</v>
      </c>
    </row>
    <row r="222" spans="2:7" x14ac:dyDescent="0.2">
      <c r="B222" s="797"/>
      <c r="C222" s="801" t="s">
        <v>532</v>
      </c>
      <c r="D222" s="781">
        <v>56.115977000000001</v>
      </c>
      <c r="E222" s="799">
        <f t="shared" si="10"/>
        <v>2.7633562771756668</v>
      </c>
      <c r="F222" s="799">
        <f>IF(SUM($D$19:$D$21)=0,0,D222/SUM($D$19:D$21)*100)</f>
        <v>3.8275597258145613</v>
      </c>
      <c r="G222" s="782">
        <f t="shared" si="11"/>
        <v>5.6651483932855333</v>
      </c>
    </row>
    <row r="223" spans="2:7" x14ac:dyDescent="0.2">
      <c r="B223" s="797"/>
      <c r="C223" s="801" t="s">
        <v>533</v>
      </c>
      <c r="D223" s="781">
        <v>0</v>
      </c>
      <c r="E223" s="799">
        <f t="shared" si="10"/>
        <v>0</v>
      </c>
      <c r="F223" s="799">
        <f>IF(SUM($D$19:$D$21)=0,0,D223/SUM($D$19:D$21)*100)</f>
        <v>0</v>
      </c>
      <c r="G223" s="782">
        <f t="shared" si="11"/>
        <v>0</v>
      </c>
    </row>
    <row r="224" spans="2:7" x14ac:dyDescent="0.2">
      <c r="B224" s="797"/>
      <c r="C224" s="801" t="s">
        <v>534</v>
      </c>
      <c r="D224" s="781">
        <v>332.69592999999998</v>
      </c>
      <c r="E224" s="799">
        <f t="shared" si="10"/>
        <v>16.383166358420457</v>
      </c>
      <c r="F224" s="799">
        <f>IF(SUM($D$19:$D$21)=0,0,D224/SUM($D$19:D$21)*100)</f>
        <v>22.692530909876528</v>
      </c>
      <c r="G224" s="782">
        <f t="shared" si="11"/>
        <v>33.587080080457945</v>
      </c>
    </row>
    <row r="225" spans="2:7" x14ac:dyDescent="0.2">
      <c r="B225" s="797"/>
      <c r="C225" s="801" t="s">
        <v>535</v>
      </c>
      <c r="D225" s="781">
        <v>27.647427</v>
      </c>
      <c r="E225" s="799">
        <f t="shared" si="10"/>
        <v>1.3614605863176188</v>
      </c>
      <c r="F225" s="799">
        <f>IF(SUM($D$19:$D$21)=0,0,D225/SUM($D$19:D$21)*100)</f>
        <v>1.8857762755800915</v>
      </c>
      <c r="G225" s="782">
        <f t="shared" si="11"/>
        <v>2.7911262535361194</v>
      </c>
    </row>
    <row r="226" spans="2:7" x14ac:dyDescent="0.2">
      <c r="B226" s="797"/>
      <c r="C226" s="801" t="s">
        <v>536</v>
      </c>
      <c r="D226" s="781">
        <v>91.931835000000007</v>
      </c>
      <c r="E226" s="799">
        <f t="shared" si="10"/>
        <v>4.5270603293519711</v>
      </c>
      <c r="F226" s="799">
        <f>IF(SUM($D$19:$D$21)=0,0,D226/SUM($D$19:D$21)*100)</f>
        <v>6.2704885128566774</v>
      </c>
      <c r="G226" s="782">
        <f t="shared" si="11"/>
        <v>9.2809127664665052</v>
      </c>
    </row>
    <row r="227" spans="2:7" x14ac:dyDescent="0.2">
      <c r="B227" s="797"/>
      <c r="C227" s="801" t="s">
        <v>537</v>
      </c>
      <c r="D227" s="781">
        <v>1</v>
      </c>
      <c r="E227" s="799">
        <f t="shared" si="10"/>
        <v>4.924366330066153E-2</v>
      </c>
      <c r="F227" s="799">
        <f>IF(SUM($D$19:$D$21)=0,0,D227/SUM($D$19:D$21)*100)</f>
        <v>6.8208020789062629E-2</v>
      </c>
      <c r="G227" s="782">
        <f t="shared" si="11"/>
        <v>0.10095428603667603</v>
      </c>
    </row>
    <row r="228" spans="2:7" x14ac:dyDescent="0.2">
      <c r="B228" s="797"/>
      <c r="C228" s="801" t="s">
        <v>538</v>
      </c>
      <c r="D228" s="781">
        <v>15.251645000000002</v>
      </c>
      <c r="E228" s="799">
        <f t="shared" si="10"/>
        <v>0.75104687116121804</v>
      </c>
      <c r="F228" s="799">
        <f>IF(SUM($D$19:$D$21)=0,0,D228/SUM($D$19:D$21)*100)</f>
        <v>1.0402845192274033</v>
      </c>
      <c r="G228" s="782">
        <f t="shared" si="11"/>
        <v>1.5397189318598399</v>
      </c>
    </row>
    <row r="229" spans="2:7" x14ac:dyDescent="0.2">
      <c r="B229" s="797"/>
      <c r="C229" s="801" t="s">
        <v>539</v>
      </c>
      <c r="D229" s="781">
        <v>0</v>
      </c>
      <c r="E229" s="799">
        <f t="shared" si="10"/>
        <v>0</v>
      </c>
      <c r="F229" s="799">
        <f>IF(SUM($D$19:$D$21)=0,0,D229/SUM($D$19:D$21)*100)</f>
        <v>0</v>
      </c>
      <c r="G229" s="782">
        <f t="shared" si="11"/>
        <v>0</v>
      </c>
    </row>
    <row r="230" spans="2:7" x14ac:dyDescent="0.2">
      <c r="B230" s="797"/>
      <c r="C230" s="801" t="s">
        <v>540</v>
      </c>
      <c r="D230" s="781">
        <v>1.0567800000000001</v>
      </c>
      <c r="E230" s="799">
        <f t="shared" si="10"/>
        <v>5.2039718502873096E-2</v>
      </c>
      <c r="F230" s="799">
        <f>IF(SUM($D$19:$D$21)=0,0,D230/SUM($D$19:D$21)*100)</f>
        <v>7.2080872209465616E-2</v>
      </c>
      <c r="G230" s="782">
        <f t="shared" si="11"/>
        <v>0.10668647039783849</v>
      </c>
    </row>
    <row r="231" spans="2:7" x14ac:dyDescent="0.2">
      <c r="B231" s="797"/>
      <c r="C231" s="801" t="s">
        <v>541</v>
      </c>
      <c r="D231" s="781">
        <v>13.150454</v>
      </c>
      <c r="E231" s="799">
        <f t="shared" si="10"/>
        <v>0.64757652902683771</v>
      </c>
      <c r="F231" s="799">
        <f>IF(SUM($D$19:$D$21)=0,0,D231/SUM($D$19:D$21)*100)</f>
        <v>0.89696643981761193</v>
      </c>
      <c r="G231" s="782">
        <f t="shared" si="11"/>
        <v>1.3275946946281503</v>
      </c>
    </row>
    <row r="232" spans="2:7" x14ac:dyDescent="0.2">
      <c r="B232" s="797"/>
      <c r="C232" s="801" t="s">
        <v>542</v>
      </c>
      <c r="D232" s="781">
        <v>0</v>
      </c>
      <c r="E232" s="799">
        <f t="shared" si="10"/>
        <v>0</v>
      </c>
      <c r="F232" s="799">
        <f>IF(SUM($D$19:$D$21)=0,0,D232/SUM($D$19:D$21)*100)</f>
        <v>0</v>
      </c>
      <c r="G232" s="782">
        <f t="shared" si="11"/>
        <v>0</v>
      </c>
    </row>
    <row r="233" spans="2:7" x14ac:dyDescent="0.2">
      <c r="B233" s="797"/>
      <c r="C233" s="801" t="s">
        <v>543</v>
      </c>
      <c r="D233" s="781">
        <v>352.02155399999998</v>
      </c>
      <c r="E233" s="799">
        <f t="shared" si="10"/>
        <v>17.334830879751642</v>
      </c>
      <c r="F233" s="799">
        <f>IF(SUM($D$19:$D$21)=0,0,D233/SUM($D$19:D$21)*100)</f>
        <v>24.010693473430134</v>
      </c>
      <c r="G233" s="782">
        <f t="shared" si="11"/>
        <v>35.538084653591191</v>
      </c>
    </row>
    <row r="234" spans="2:7" x14ac:dyDescent="0.2">
      <c r="B234" s="797"/>
      <c r="C234" s="801" t="s">
        <v>544</v>
      </c>
      <c r="D234" s="781">
        <v>229.40062300000002</v>
      </c>
      <c r="E234" s="799">
        <f t="shared" si="10"/>
        <v>11.296527039973993</v>
      </c>
      <c r="F234" s="799">
        <f>IF(SUM($D$19:$D$21)=0,0,D234/SUM($D$19:D$21)*100)</f>
        <v>15.646962462607922</v>
      </c>
      <c r="G234" s="782">
        <f t="shared" si="11"/>
        <v>23.158976111333683</v>
      </c>
    </row>
    <row r="235" spans="2:7" x14ac:dyDescent="0.2">
      <c r="B235" s="797"/>
      <c r="C235" s="801" t="s">
        <v>545</v>
      </c>
      <c r="D235" s="781">
        <v>0</v>
      </c>
      <c r="E235" s="799">
        <f t="shared" si="10"/>
        <v>0</v>
      </c>
      <c r="F235" s="799">
        <f>IF(SUM($D$19:$D$21)=0,0,D235/SUM($D$19:D$21)*100)</f>
        <v>0</v>
      </c>
      <c r="G235" s="782">
        <f t="shared" si="11"/>
        <v>0</v>
      </c>
    </row>
    <row r="236" spans="2:7" x14ac:dyDescent="0.2">
      <c r="B236" s="797"/>
      <c r="C236" s="801" t="s">
        <v>546</v>
      </c>
      <c r="D236" s="781">
        <v>1.486507</v>
      </c>
      <c r="E236" s="799">
        <f t="shared" si="10"/>
        <v>7.320105020207647E-2</v>
      </c>
      <c r="F236" s="799">
        <f>IF(SUM($D$19:$D$21)=0,0,D236/SUM($D$19:D$21)*100)</f>
        <v>0.10139170035908714</v>
      </c>
      <c r="G236" s="782">
        <f t="shared" si="11"/>
        <v>0.15006925287352119</v>
      </c>
    </row>
    <row r="237" spans="2:7" x14ac:dyDescent="0.2">
      <c r="B237" s="802"/>
      <c r="C237" s="803" t="s">
        <v>547</v>
      </c>
      <c r="D237" s="804">
        <v>0</v>
      </c>
      <c r="E237" s="805">
        <f t="shared" si="10"/>
        <v>0</v>
      </c>
      <c r="F237" s="805">
        <f>IF(SUM($D$19:$D$21)=0,0,D237/SUM($D$19:D$21)*100)</f>
        <v>0</v>
      </c>
      <c r="G237" s="785">
        <f t="shared" si="11"/>
        <v>0</v>
      </c>
    </row>
    <row r="238" spans="2:7" x14ac:dyDescent="0.2">
      <c r="D238" s="788"/>
      <c r="E238" s="789"/>
      <c r="F238" s="789"/>
      <c r="G238" s="789"/>
    </row>
    <row r="239" spans="2:7" x14ac:dyDescent="0.2">
      <c r="B239" s="794" t="s">
        <v>502</v>
      </c>
      <c r="C239" s="795" t="s">
        <v>517</v>
      </c>
      <c r="D239" s="779">
        <v>0</v>
      </c>
      <c r="E239" s="796">
        <f>IF($C$6=0,0,D239/$C$6*100)</f>
        <v>0</v>
      </c>
      <c r="F239" s="796">
        <f>IF(SUM($D$24:$D$26)=0,0,D239/SUM($D$24:D$26)*100)</f>
        <v>0</v>
      </c>
      <c r="G239" s="780">
        <f>IF($D$25=0,0,D239/$D$25*100)</f>
        <v>0</v>
      </c>
    </row>
    <row r="240" spans="2:7" x14ac:dyDescent="0.2">
      <c r="B240" s="797"/>
      <c r="C240" s="798" t="s">
        <v>987</v>
      </c>
      <c r="D240" s="781">
        <v>2.01458</v>
      </c>
      <c r="E240" s="799">
        <f t="shared" ref="E240:E270" si="12">IF($C$6=0,0,D240/$C$6*100)</f>
        <v>6.0692702316770139E-2</v>
      </c>
      <c r="F240" s="799">
        <f>IF(SUM($D$24:$D$26)=0,0,D240/SUM($D$24:D$26)*100)</f>
        <v>0.10916504866140772</v>
      </c>
      <c r="G240" s="782">
        <f t="shared" ref="G240:G270" si="13">IF($D$25=0,0,D240/$D$25*100)</f>
        <v>0.1424610202703028</v>
      </c>
    </row>
    <row r="241" spans="2:7" x14ac:dyDescent="0.2">
      <c r="B241" s="797"/>
      <c r="C241" s="800" t="s">
        <v>518</v>
      </c>
      <c r="D241" s="781">
        <v>53.537888000000009</v>
      </c>
      <c r="E241" s="799">
        <f t="shared" si="12"/>
        <v>1.6129213528639126</v>
      </c>
      <c r="F241" s="799">
        <f>IF(SUM($D$24:$D$26)=0,0,D241/SUM($D$24:D$26)*100)</f>
        <v>2.9010841707695878</v>
      </c>
      <c r="G241" s="782">
        <f t="shared" si="13"/>
        <v>3.7859316321998642</v>
      </c>
    </row>
    <row r="242" spans="2:7" x14ac:dyDescent="0.2">
      <c r="B242" s="797"/>
      <c r="C242" s="800" t="s">
        <v>519</v>
      </c>
      <c r="D242" s="781">
        <v>17.897164999999998</v>
      </c>
      <c r="E242" s="799">
        <f t="shared" si="12"/>
        <v>0.5391830096889263</v>
      </c>
      <c r="F242" s="799">
        <f>IF(SUM($D$24:$D$26)=0,0,D242/SUM($D$24:D$26)*100)</f>
        <v>0.96980258323136481</v>
      </c>
      <c r="G242" s="782">
        <f t="shared" si="13"/>
        <v>1.2655979836223696</v>
      </c>
    </row>
    <row r="243" spans="2:7" x14ac:dyDescent="0.2">
      <c r="B243" s="797"/>
      <c r="C243" s="800" t="s">
        <v>520</v>
      </c>
      <c r="D243" s="781">
        <v>224.49797000000001</v>
      </c>
      <c r="E243" s="799">
        <f t="shared" si="12"/>
        <v>6.7633891252415852</v>
      </c>
      <c r="F243" s="799">
        <f>IF(SUM($D$24:$D$26)=0,0,D243/SUM($D$24:D$26)*100)</f>
        <v>12.164983182319515</v>
      </c>
      <c r="G243" s="782">
        <f t="shared" si="13"/>
        <v>15.875373454919551</v>
      </c>
    </row>
    <row r="244" spans="2:7" x14ac:dyDescent="0.2">
      <c r="B244" s="797"/>
      <c r="C244" s="800" t="s">
        <v>521</v>
      </c>
      <c r="D244" s="781">
        <v>0</v>
      </c>
      <c r="E244" s="799">
        <f t="shared" si="12"/>
        <v>0</v>
      </c>
      <c r="F244" s="799">
        <f>IF(SUM($D$24:$D$26)=0,0,D244/SUM($D$24:D$26)*100)</f>
        <v>0</v>
      </c>
      <c r="G244" s="782">
        <f t="shared" si="13"/>
        <v>0</v>
      </c>
    </row>
    <row r="245" spans="2:7" x14ac:dyDescent="0.2">
      <c r="B245" s="797"/>
      <c r="C245" s="800" t="s">
        <v>522</v>
      </c>
      <c r="D245" s="781">
        <v>114.67353299999999</v>
      </c>
      <c r="E245" s="799">
        <f t="shared" si="12"/>
        <v>3.4547382590819504</v>
      </c>
      <c r="F245" s="799">
        <f>IF(SUM($D$24:$D$26)=0,0,D245/SUM($D$24:D$26)*100)</f>
        <v>6.2138717797856335</v>
      </c>
      <c r="G245" s="782">
        <f t="shared" si="13"/>
        <v>8.109138633948632</v>
      </c>
    </row>
    <row r="246" spans="2:7" x14ac:dyDescent="0.2">
      <c r="B246" s="797"/>
      <c r="C246" s="800" t="s">
        <v>523</v>
      </c>
      <c r="D246" s="781">
        <v>0</v>
      </c>
      <c r="E246" s="799">
        <f t="shared" si="12"/>
        <v>0</v>
      </c>
      <c r="F246" s="799">
        <f>IF(SUM($D$24:$D$26)=0,0,D246/SUM($D$24:D$26)*100)</f>
        <v>0</v>
      </c>
      <c r="G246" s="782">
        <f t="shared" si="13"/>
        <v>0</v>
      </c>
    </row>
    <row r="247" spans="2:7" x14ac:dyDescent="0.2">
      <c r="B247" s="797"/>
      <c r="C247" s="800" t="s">
        <v>524</v>
      </c>
      <c r="D247" s="781">
        <v>132.03377399999999</v>
      </c>
      <c r="E247" s="799">
        <f t="shared" si="12"/>
        <v>3.9777455058333273</v>
      </c>
      <c r="F247" s="799">
        <f>IF(SUM($D$24:$D$26)=0,0,D247/SUM($D$24:D$26)*100)</f>
        <v>7.1545797951232064</v>
      </c>
      <c r="G247" s="782">
        <f t="shared" si="13"/>
        <v>9.3367680380916003</v>
      </c>
    </row>
    <row r="248" spans="2:7" x14ac:dyDescent="0.2">
      <c r="B248" s="797"/>
      <c r="C248" s="800" t="s">
        <v>525</v>
      </c>
      <c r="D248" s="781">
        <v>132.19632799999999</v>
      </c>
      <c r="E248" s="799">
        <f t="shared" si="12"/>
        <v>3.9826427258654928</v>
      </c>
      <c r="F248" s="799">
        <f>IF(SUM($D$24:$D$26)=0,0,D248/SUM($D$24:D$26)*100)</f>
        <v>7.1633881895876135</v>
      </c>
      <c r="G248" s="782">
        <f t="shared" si="13"/>
        <v>9.3482630438441738</v>
      </c>
    </row>
    <row r="249" spans="2:7" x14ac:dyDescent="0.2">
      <c r="B249" s="797"/>
      <c r="C249" s="800" t="s">
        <v>526</v>
      </c>
      <c r="D249" s="781">
        <v>48.994228999999997</v>
      </c>
      <c r="E249" s="799">
        <f t="shared" si="12"/>
        <v>1.4760357771528887</v>
      </c>
      <c r="F249" s="799">
        <f>IF(SUM($D$24:$D$26)=0,0,D249/SUM($D$24:D$26)*100)</f>
        <v>2.654874660183836</v>
      </c>
      <c r="G249" s="782">
        <f t="shared" si="13"/>
        <v>3.4646267960055481</v>
      </c>
    </row>
    <row r="250" spans="2:7" x14ac:dyDescent="0.2">
      <c r="B250" s="797"/>
      <c r="C250" s="800" t="s">
        <v>527</v>
      </c>
      <c r="D250" s="781">
        <v>0</v>
      </c>
      <c r="E250" s="799">
        <f t="shared" si="12"/>
        <v>0</v>
      </c>
      <c r="F250" s="799">
        <f>IF(SUM($D$24:$D$26)=0,0,D250/SUM($D$24:D$26)*100)</f>
        <v>0</v>
      </c>
      <c r="G250" s="782">
        <f t="shared" si="13"/>
        <v>0</v>
      </c>
    </row>
    <row r="251" spans="2:7" x14ac:dyDescent="0.2">
      <c r="B251" s="797"/>
      <c r="C251" s="801" t="s">
        <v>528</v>
      </c>
      <c r="D251" s="781">
        <v>0</v>
      </c>
      <c r="E251" s="799">
        <f t="shared" si="12"/>
        <v>0</v>
      </c>
      <c r="F251" s="799">
        <f>IF(SUM($D$24:$D$26)=0,0,D251/SUM($D$24:D$26)*100)</f>
        <v>0</v>
      </c>
      <c r="G251" s="782">
        <f t="shared" si="13"/>
        <v>0</v>
      </c>
    </row>
    <row r="252" spans="2:7" x14ac:dyDescent="0.2">
      <c r="B252" s="797"/>
      <c r="C252" s="801" t="s">
        <v>529</v>
      </c>
      <c r="D252" s="781">
        <v>2.017433</v>
      </c>
      <c r="E252" s="799">
        <f t="shared" si="12"/>
        <v>6.0778653869803398E-2</v>
      </c>
      <c r="F252" s="799">
        <f>IF(SUM($D$24:$D$26)=0,0,D252/SUM($D$24:D$26)*100)</f>
        <v>0.10931964559170136</v>
      </c>
      <c r="G252" s="782">
        <f t="shared" si="13"/>
        <v>0.14266277015902956</v>
      </c>
    </row>
    <row r="253" spans="2:7" x14ac:dyDescent="0.2">
      <c r="B253" s="797"/>
      <c r="C253" s="801" t="s">
        <v>530</v>
      </c>
      <c r="D253" s="781">
        <v>0</v>
      </c>
      <c r="E253" s="799">
        <f t="shared" si="12"/>
        <v>0</v>
      </c>
      <c r="F253" s="799">
        <f>IF(SUM($D$24:$D$26)=0,0,D253/SUM($D$24:D$26)*100)</f>
        <v>0</v>
      </c>
      <c r="G253" s="782">
        <f t="shared" si="13"/>
        <v>0</v>
      </c>
    </row>
    <row r="254" spans="2:7" x14ac:dyDescent="0.2">
      <c r="B254" s="797"/>
      <c r="C254" s="801" t="s">
        <v>531</v>
      </c>
      <c r="D254" s="781">
        <v>0</v>
      </c>
      <c r="E254" s="799">
        <f t="shared" si="12"/>
        <v>0</v>
      </c>
      <c r="F254" s="799">
        <f>IF(SUM($D$24:$D$26)=0,0,D254/SUM($D$24:D$26)*100)</f>
        <v>0</v>
      </c>
      <c r="G254" s="782">
        <f t="shared" si="13"/>
        <v>0</v>
      </c>
    </row>
    <row r="255" spans="2:7" x14ac:dyDescent="0.2">
      <c r="B255" s="797"/>
      <c r="C255" s="801" t="s">
        <v>532</v>
      </c>
      <c r="D255" s="781">
        <v>51.393757999999998</v>
      </c>
      <c r="E255" s="799">
        <f t="shared" si="12"/>
        <v>1.5483257330233218</v>
      </c>
      <c r="F255" s="799">
        <f>IF(SUM($D$24:$D$26)=0,0,D255/SUM($D$24:D$26)*100)</f>
        <v>2.7848991318104077</v>
      </c>
      <c r="G255" s="782">
        <f t="shared" si="13"/>
        <v>3.6343094839644174</v>
      </c>
    </row>
    <row r="256" spans="2:7" x14ac:dyDescent="0.2">
      <c r="B256" s="797"/>
      <c r="C256" s="801" t="s">
        <v>533</v>
      </c>
      <c r="D256" s="781">
        <v>0</v>
      </c>
      <c r="E256" s="799">
        <f t="shared" si="12"/>
        <v>0</v>
      </c>
      <c r="F256" s="799">
        <f>IF(SUM($D$24:$D$26)=0,0,D256/SUM($D$24:D$26)*100)</f>
        <v>0</v>
      </c>
      <c r="G256" s="782">
        <f t="shared" si="13"/>
        <v>0</v>
      </c>
    </row>
    <row r="257" spans="2:12" x14ac:dyDescent="0.2">
      <c r="B257" s="797"/>
      <c r="C257" s="801" t="s">
        <v>534</v>
      </c>
      <c r="D257" s="781">
        <v>373.03265800000008</v>
      </c>
      <c r="E257" s="799">
        <f t="shared" si="12"/>
        <v>11.238253167621801</v>
      </c>
      <c r="F257" s="799">
        <f>IF(SUM($D$24:$D$26)=0,0,D257/SUM($D$24:D$26)*100)</f>
        <v>20.213706213138355</v>
      </c>
      <c r="G257" s="782">
        <f t="shared" si="13"/>
        <v>26.379003590238632</v>
      </c>
    </row>
    <row r="258" spans="2:12" x14ac:dyDescent="0.2">
      <c r="B258" s="797"/>
      <c r="C258" s="801" t="s">
        <v>535</v>
      </c>
      <c r="D258" s="781">
        <v>6.746963</v>
      </c>
      <c r="E258" s="799">
        <f t="shared" si="12"/>
        <v>0.20326391451382539</v>
      </c>
      <c r="F258" s="799">
        <f>IF(SUM($D$24:$D$26)=0,0,D258/SUM($D$24:D$26)*100)</f>
        <v>0.36560104052046449</v>
      </c>
      <c r="G258" s="782">
        <f t="shared" si="13"/>
        <v>0.47711147370964813</v>
      </c>
    </row>
    <row r="259" spans="2:12" x14ac:dyDescent="0.2">
      <c r="B259" s="797"/>
      <c r="C259" s="801" t="s">
        <v>536</v>
      </c>
      <c r="D259" s="781">
        <v>23.710287000000001</v>
      </c>
      <c r="E259" s="799">
        <f t="shared" si="12"/>
        <v>0.71431335103901805</v>
      </c>
      <c r="F259" s="799">
        <f>IF(SUM($D$24:$D$26)=0,0,D259/SUM($D$24:D$26)*100)</f>
        <v>1.2848011169231019</v>
      </c>
      <c r="G259" s="782">
        <f t="shared" si="13"/>
        <v>1.6766728930703654</v>
      </c>
    </row>
    <row r="260" spans="2:12" x14ac:dyDescent="0.2">
      <c r="B260" s="797"/>
      <c r="C260" s="801" t="s">
        <v>537</v>
      </c>
      <c r="D260" s="781">
        <v>6.1628410000000002</v>
      </c>
      <c r="E260" s="799">
        <f t="shared" si="12"/>
        <v>0.18566623030040308</v>
      </c>
      <c r="F260" s="799">
        <f>IF(SUM($D$24:$D$26)=0,0,D260/SUM($D$24:D$26)*100)</f>
        <v>0.33394893112088803</v>
      </c>
      <c r="G260" s="782">
        <f t="shared" si="13"/>
        <v>0.43580528776402683</v>
      </c>
    </row>
    <row r="261" spans="2:12" x14ac:dyDescent="0.2">
      <c r="B261" s="797"/>
      <c r="C261" s="801" t="s">
        <v>538</v>
      </c>
      <c r="D261" s="781">
        <v>51.526141000000003</v>
      </c>
      <c r="E261" s="799">
        <f t="shared" si="12"/>
        <v>1.552313999565629</v>
      </c>
      <c r="F261" s="799">
        <f>IF(SUM($D$24:$D$26)=0,0,D261/SUM($D$24:D$26)*100)</f>
        <v>2.7920726352885241</v>
      </c>
      <c r="G261" s="782">
        <f t="shared" si="13"/>
        <v>3.6436709475183315</v>
      </c>
      <c r="H261" s="807"/>
      <c r="I261" s="807"/>
      <c r="J261" s="807"/>
      <c r="K261" s="807"/>
      <c r="L261" s="807"/>
    </row>
    <row r="262" spans="2:12" x14ac:dyDescent="0.2">
      <c r="B262" s="797"/>
      <c r="C262" s="801" t="s">
        <v>539</v>
      </c>
      <c r="D262" s="781">
        <v>0</v>
      </c>
      <c r="E262" s="799">
        <f t="shared" si="12"/>
        <v>0</v>
      </c>
      <c r="F262" s="799">
        <f>IF(SUM($D$24:$D$26)=0,0,D262/SUM($D$24:D$26)*100)</f>
        <v>0</v>
      </c>
      <c r="G262" s="782">
        <f t="shared" si="13"/>
        <v>0</v>
      </c>
      <c r="H262" s="807"/>
      <c r="I262" s="807"/>
      <c r="J262" s="807"/>
      <c r="K262" s="807"/>
      <c r="L262" s="807"/>
    </row>
    <row r="263" spans="2:12" x14ac:dyDescent="0.2">
      <c r="B263" s="797"/>
      <c r="C263" s="801" t="s">
        <v>540</v>
      </c>
      <c r="D263" s="781">
        <v>0</v>
      </c>
      <c r="E263" s="799">
        <f t="shared" si="12"/>
        <v>0</v>
      </c>
      <c r="F263" s="799">
        <f>IF(SUM($D$24:$D$26)=0,0,D263/SUM($D$24:D$26)*100)</f>
        <v>0</v>
      </c>
      <c r="G263" s="782">
        <f t="shared" si="13"/>
        <v>0</v>
      </c>
      <c r="H263" s="807"/>
      <c r="I263" s="807"/>
      <c r="J263" s="807"/>
      <c r="K263" s="807"/>
      <c r="L263" s="807"/>
    </row>
    <row r="264" spans="2:12" x14ac:dyDescent="0.2">
      <c r="B264" s="797"/>
      <c r="C264" s="801" t="s">
        <v>541</v>
      </c>
      <c r="D264" s="781">
        <v>4.065798</v>
      </c>
      <c r="E264" s="799">
        <f t="shared" si="12"/>
        <v>0.12248918766895303</v>
      </c>
      <c r="F264" s="799">
        <f>IF(SUM($D$24:$D$26)=0,0,D264/SUM($D$24:D$26)*100)</f>
        <v>0.22031541885527214</v>
      </c>
      <c r="G264" s="782">
        <f t="shared" si="13"/>
        <v>0.28751289663004526</v>
      </c>
      <c r="H264" s="807"/>
      <c r="I264" s="807"/>
      <c r="J264" s="807"/>
      <c r="K264" s="807"/>
      <c r="L264" s="807"/>
    </row>
    <row r="265" spans="2:12" x14ac:dyDescent="0.2">
      <c r="B265" s="797"/>
      <c r="C265" s="801" t="s">
        <v>542</v>
      </c>
      <c r="D265" s="781">
        <v>0</v>
      </c>
      <c r="E265" s="799">
        <f t="shared" si="12"/>
        <v>0</v>
      </c>
      <c r="F265" s="799">
        <f>IF(SUM($D$24:$D$26)=0,0,D265/SUM($D$24:D$26)*100)</f>
        <v>0</v>
      </c>
      <c r="G265" s="782">
        <f t="shared" si="13"/>
        <v>0</v>
      </c>
      <c r="H265" s="807"/>
      <c r="I265" s="807"/>
      <c r="J265" s="807"/>
      <c r="K265" s="807"/>
      <c r="L265" s="807"/>
    </row>
    <row r="266" spans="2:12" x14ac:dyDescent="0.2">
      <c r="B266" s="797"/>
      <c r="C266" s="801" t="s">
        <v>543</v>
      </c>
      <c r="D266" s="781">
        <v>446.51520600000003</v>
      </c>
      <c r="E266" s="799">
        <f t="shared" si="12"/>
        <v>13.452041853721022</v>
      </c>
      <c r="F266" s="799">
        <f>IF(SUM($D$24:$D$26)=0,0,D266/SUM($D$24:D$26)*100)</f>
        <v>24.195541597280073</v>
      </c>
      <c r="G266" s="782">
        <f t="shared" si="13"/>
        <v>31.575321810483793</v>
      </c>
      <c r="H266" s="807"/>
      <c r="I266" s="807"/>
      <c r="J266" s="807"/>
      <c r="K266" s="807"/>
      <c r="L266" s="807"/>
    </row>
    <row r="267" spans="2:12" x14ac:dyDescent="0.2">
      <c r="B267" s="797"/>
      <c r="C267" s="801" t="s">
        <v>544</v>
      </c>
      <c r="D267" s="781">
        <v>379.17645899999997</v>
      </c>
      <c r="E267" s="799">
        <f t="shared" si="12"/>
        <v>11.423345785034099</v>
      </c>
      <c r="F267" s="799">
        <f>IF(SUM($D$24:$D$26)=0,0,D267/SUM($D$24:D$26)*100)</f>
        <v>20.54662341430733</v>
      </c>
      <c r="G267" s="782">
        <f t="shared" si="13"/>
        <v>26.813462464444516</v>
      </c>
      <c r="H267" s="807"/>
      <c r="I267" s="807"/>
      <c r="J267" s="807"/>
      <c r="K267" s="807"/>
      <c r="L267" s="807"/>
    </row>
    <row r="268" spans="2:12" x14ac:dyDescent="0.2">
      <c r="B268" s="797"/>
      <c r="C268" s="801" t="s">
        <v>545</v>
      </c>
      <c r="D268" s="781">
        <v>0</v>
      </c>
      <c r="E268" s="799">
        <f t="shared" si="12"/>
        <v>0</v>
      </c>
      <c r="F268" s="799">
        <f>IF(SUM($D$24:$D$26)=0,0,D268/SUM($D$24:D$26)*100)</f>
        <v>0</v>
      </c>
      <c r="G268" s="782">
        <f t="shared" si="13"/>
        <v>0</v>
      </c>
      <c r="H268" s="807"/>
      <c r="I268" s="807"/>
      <c r="J268" s="807"/>
      <c r="K268" s="807"/>
      <c r="L268" s="807"/>
    </row>
    <row r="269" spans="2:12" x14ac:dyDescent="0.2">
      <c r="B269" s="797"/>
      <c r="C269" s="801" t="s">
        <v>546</v>
      </c>
      <c r="D269" s="781">
        <v>6.7747949999999992</v>
      </c>
      <c r="E269" s="799">
        <f t="shared" si="12"/>
        <v>0.20410240158849124</v>
      </c>
      <c r="F269" s="799">
        <f>IF(SUM($D$24:$D$26)=0,0,D269/SUM($D$24:D$26)*100)</f>
        <v>0.36710918695016409</v>
      </c>
      <c r="G269" s="782">
        <f t="shared" si="13"/>
        <v>0.47907961352845058</v>
      </c>
      <c r="H269" s="807"/>
      <c r="I269" s="807"/>
      <c r="J269" s="807"/>
      <c r="K269" s="807"/>
      <c r="L269" s="807"/>
    </row>
    <row r="270" spans="2:12" x14ac:dyDescent="0.2">
      <c r="B270" s="802"/>
      <c r="C270" s="803" t="s">
        <v>547</v>
      </c>
      <c r="D270" s="804">
        <v>0</v>
      </c>
      <c r="E270" s="805">
        <f t="shared" si="12"/>
        <v>0</v>
      </c>
      <c r="F270" s="805">
        <f>IF(SUM($D$24:$D$26)=0,0,D270/SUM($D$24:D$26)*100)</f>
        <v>0</v>
      </c>
      <c r="G270" s="785">
        <f t="shared" si="13"/>
        <v>0</v>
      </c>
      <c r="H270" s="807"/>
      <c r="I270" s="807"/>
      <c r="J270" s="807"/>
      <c r="K270" s="807"/>
      <c r="L270" s="807"/>
    </row>
    <row r="271" spans="2:12" x14ac:dyDescent="0.2">
      <c r="D271" s="788"/>
      <c r="E271" s="789"/>
      <c r="F271" s="789"/>
      <c r="G271" s="789"/>
      <c r="H271" s="807"/>
      <c r="I271" s="807"/>
      <c r="J271" s="807"/>
      <c r="K271" s="807"/>
      <c r="L271" s="807"/>
    </row>
    <row r="272" spans="2:12" x14ac:dyDescent="0.2">
      <c r="B272" s="794" t="s">
        <v>503</v>
      </c>
      <c r="C272" s="795" t="s">
        <v>517</v>
      </c>
      <c r="D272" s="779">
        <v>0</v>
      </c>
      <c r="E272" s="796">
        <f>IF($C$7=0,0,D272/$C$7*100)</f>
        <v>0</v>
      </c>
      <c r="F272" s="796">
        <f>IF(SUM($D$29:$D$31)=0,0,D272/SUM($D$29:D$31)*100)</f>
        <v>0</v>
      </c>
      <c r="G272" s="780">
        <f>IF($D$30=0,0,D272/$D$30*100)</f>
        <v>0</v>
      </c>
      <c r="H272" s="807"/>
      <c r="I272" s="807"/>
      <c r="J272" s="807"/>
      <c r="K272" s="807"/>
      <c r="L272" s="807"/>
    </row>
    <row r="273" spans="2:12" x14ac:dyDescent="0.2">
      <c r="B273" s="797"/>
      <c r="C273" s="798" t="s">
        <v>987</v>
      </c>
      <c r="D273" s="781">
        <v>1</v>
      </c>
      <c r="E273" s="799">
        <f t="shared" ref="E273:E303" si="14">IF($C$7=0,0,D273/$C$7*100)</f>
        <v>1.0278973870214106E-2</v>
      </c>
      <c r="F273" s="799">
        <f>IF(SUM($D$29:$D$31)=0,0,D273/SUM($D$29:D$31)*100)</f>
        <v>3.5283227549442138E-2</v>
      </c>
      <c r="G273" s="782">
        <f t="shared" ref="G273:G303" si="15">IF($D$30=0,0,D273/$D$30*100)</f>
        <v>7.9883150187138777E-2</v>
      </c>
      <c r="H273" s="807"/>
      <c r="I273" s="807"/>
      <c r="J273" s="807"/>
      <c r="K273" s="807"/>
      <c r="L273" s="807"/>
    </row>
    <row r="274" spans="2:12" x14ac:dyDescent="0.2">
      <c r="B274" s="797"/>
      <c r="C274" s="800" t="s">
        <v>518</v>
      </c>
      <c r="D274" s="781">
        <v>0</v>
      </c>
      <c r="E274" s="799">
        <f t="shared" si="14"/>
        <v>0</v>
      </c>
      <c r="F274" s="799">
        <f>IF(SUM($D$29:$D$31)=0,0,D274/SUM($D$29:D$31)*100)</f>
        <v>0</v>
      </c>
      <c r="G274" s="782">
        <f t="shared" si="15"/>
        <v>0</v>
      </c>
      <c r="H274" s="807"/>
      <c r="I274" s="807"/>
      <c r="J274" s="807"/>
      <c r="K274" s="807"/>
      <c r="L274" s="807"/>
    </row>
    <row r="275" spans="2:12" x14ac:dyDescent="0.2">
      <c r="B275" s="797"/>
      <c r="C275" s="800" t="s">
        <v>519</v>
      </c>
      <c r="D275" s="781">
        <v>10.986428999999999</v>
      </c>
      <c r="E275" s="799">
        <f t="shared" si="14"/>
        <v>0.11292921661796249</v>
      </c>
      <c r="F275" s="799">
        <f>IF(SUM($D$29:$D$31)=0,0,D275/SUM($D$29:D$31)*100)</f>
        <v>0.38763667436279003</v>
      </c>
      <c r="G275" s="782">
        <f t="shared" si="15"/>
        <v>0.87763055782733679</v>
      </c>
      <c r="H275" s="807"/>
      <c r="I275" s="807"/>
      <c r="J275" s="807"/>
      <c r="K275" s="807"/>
      <c r="L275" s="807"/>
    </row>
    <row r="276" spans="2:12" x14ac:dyDescent="0.2">
      <c r="B276" s="797"/>
      <c r="C276" s="800" t="s">
        <v>520</v>
      </c>
      <c r="D276" s="781">
        <v>549.687725</v>
      </c>
      <c r="E276" s="799">
        <f t="shared" si="14"/>
        <v>5.6502257620524379</v>
      </c>
      <c r="F276" s="799">
        <f>IF(SUM($D$29:$D$31)=0,0,D276/SUM($D$29:D$31)*100)</f>
        <v>19.394757082310178</v>
      </c>
      <c r="G276" s="782">
        <f t="shared" si="15"/>
        <v>43.910787092201637</v>
      </c>
      <c r="H276" s="807"/>
      <c r="I276" s="807"/>
      <c r="J276" s="807"/>
      <c r="K276" s="807"/>
      <c r="L276" s="807"/>
    </row>
    <row r="277" spans="2:12" x14ac:dyDescent="0.2">
      <c r="B277" s="797"/>
      <c r="C277" s="800" t="s">
        <v>521</v>
      </c>
      <c r="D277" s="781">
        <v>0</v>
      </c>
      <c r="E277" s="799">
        <f t="shared" si="14"/>
        <v>0</v>
      </c>
      <c r="F277" s="799">
        <f>IF(SUM($D$29:$D$31)=0,0,D277/SUM($D$29:D$31)*100)</f>
        <v>0</v>
      </c>
      <c r="G277" s="782">
        <f t="shared" si="15"/>
        <v>0</v>
      </c>
      <c r="H277" s="807"/>
      <c r="I277" s="807"/>
      <c r="J277" s="807"/>
      <c r="K277" s="807"/>
      <c r="L277" s="807"/>
    </row>
    <row r="278" spans="2:12" x14ac:dyDescent="0.2">
      <c r="B278" s="797"/>
      <c r="C278" s="800" t="s">
        <v>522</v>
      </c>
      <c r="D278" s="781">
        <v>1.4689810000000001</v>
      </c>
      <c r="E278" s="799">
        <f t="shared" si="14"/>
        <v>1.5099617314840989E-2</v>
      </c>
      <c r="F278" s="799">
        <f>IF(SUM($D$29:$D$31)=0,0,D278/SUM($D$29:D$31)*100)</f>
        <v>5.1830390888807074E-2</v>
      </c>
      <c r="G278" s="782">
        <f t="shared" si="15"/>
        <v>0.11734682984505332</v>
      </c>
      <c r="H278" s="807"/>
      <c r="I278" s="807"/>
      <c r="J278" s="807"/>
      <c r="K278" s="807"/>
      <c r="L278" s="807"/>
    </row>
    <row r="279" spans="2:12" x14ac:dyDescent="0.2">
      <c r="B279" s="797"/>
      <c r="C279" s="800" t="s">
        <v>523</v>
      </c>
      <c r="D279" s="781">
        <v>1</v>
      </c>
      <c r="E279" s="799">
        <f t="shared" si="14"/>
        <v>1.0278973870214106E-2</v>
      </c>
      <c r="F279" s="799">
        <f>IF(SUM($D$29:$D$31)=0,0,D279/SUM($D$29:D$31)*100)</f>
        <v>3.5283227549442138E-2</v>
      </c>
      <c r="G279" s="782">
        <f t="shared" si="15"/>
        <v>7.9883150187138777E-2</v>
      </c>
      <c r="H279" s="807"/>
      <c r="I279" s="807"/>
      <c r="J279" s="807"/>
      <c r="K279" s="807"/>
      <c r="L279" s="807"/>
    </row>
    <row r="280" spans="2:12" x14ac:dyDescent="0.2">
      <c r="B280" s="797"/>
      <c r="C280" s="800" t="s">
        <v>524</v>
      </c>
      <c r="D280" s="781">
        <v>93.537382000000008</v>
      </c>
      <c r="E280" s="799">
        <f t="shared" si="14"/>
        <v>0.9614683054662353</v>
      </c>
      <c r="F280" s="799">
        <f>IF(SUM($D$29:$D$31)=0,0,D280/SUM($D$29:D$31)*100)</f>
        <v>3.300300733485094</v>
      </c>
      <c r="G280" s="782">
        <f t="shared" si="15"/>
        <v>7.4720607344177719</v>
      </c>
      <c r="H280" s="807"/>
      <c r="I280" s="807"/>
      <c r="J280" s="807"/>
      <c r="K280" s="807"/>
      <c r="L280" s="807"/>
    </row>
    <row r="281" spans="2:12" x14ac:dyDescent="0.2">
      <c r="B281" s="797"/>
      <c r="C281" s="800" t="s">
        <v>525</v>
      </c>
      <c r="D281" s="781">
        <v>277.40840300000002</v>
      </c>
      <c r="E281" s="799">
        <f t="shared" si="14"/>
        <v>2.8514737258148246</v>
      </c>
      <c r="F281" s="799">
        <f>IF(SUM($D$29:$D$31)=0,0,D281/SUM($D$29:D$31)*100)</f>
        <v>9.7878638071763486</v>
      </c>
      <c r="G281" s="782">
        <f t="shared" si="15"/>
        <v>22.160257120023321</v>
      </c>
      <c r="H281" s="807"/>
      <c r="I281" s="807"/>
      <c r="J281" s="807"/>
      <c r="K281" s="807"/>
      <c r="L281" s="807"/>
    </row>
    <row r="282" spans="2:12" x14ac:dyDescent="0.2">
      <c r="B282" s="797"/>
      <c r="C282" s="800" t="s">
        <v>526</v>
      </c>
      <c r="D282" s="781">
        <v>56.005626999999997</v>
      </c>
      <c r="E282" s="799">
        <f t="shared" si="14"/>
        <v>0.57568037651795767</v>
      </c>
      <c r="F282" s="799">
        <f>IF(SUM($D$29:$D$31)=0,0,D282/SUM($D$29:D$31)*100)</f>
        <v>1.9760592814901807</v>
      </c>
      <c r="G282" s="782">
        <f t="shared" si="15"/>
        <v>4.4739059129658738</v>
      </c>
      <c r="H282" s="807"/>
      <c r="I282" s="807"/>
      <c r="J282" s="807"/>
      <c r="K282" s="807"/>
      <c r="L282" s="807"/>
    </row>
    <row r="283" spans="2:12" x14ac:dyDescent="0.2">
      <c r="B283" s="797"/>
      <c r="C283" s="800" t="s">
        <v>527</v>
      </c>
      <c r="D283" s="781">
        <v>0</v>
      </c>
      <c r="E283" s="799">
        <f t="shared" si="14"/>
        <v>0</v>
      </c>
      <c r="F283" s="799">
        <f>IF(SUM($D$29:$D$31)=0,0,D283/SUM($D$29:D$31)*100)</f>
        <v>0</v>
      </c>
      <c r="G283" s="782">
        <f t="shared" si="15"/>
        <v>0</v>
      </c>
      <c r="H283" s="807"/>
      <c r="I283" s="807"/>
      <c r="J283" s="807"/>
      <c r="K283" s="807"/>
      <c r="L283" s="807"/>
    </row>
    <row r="284" spans="2:12" x14ac:dyDescent="0.2">
      <c r="B284" s="797"/>
      <c r="C284" s="801" t="s">
        <v>528</v>
      </c>
      <c r="D284" s="781">
        <v>0</v>
      </c>
      <c r="E284" s="799">
        <f t="shared" si="14"/>
        <v>0</v>
      </c>
      <c r="F284" s="799">
        <f>IF(SUM($D$29:$D$31)=0,0,D284/SUM($D$29:D$31)*100)</f>
        <v>0</v>
      </c>
      <c r="G284" s="782">
        <f t="shared" si="15"/>
        <v>0</v>
      </c>
      <c r="H284" s="807"/>
      <c r="I284" s="807"/>
      <c r="J284" s="807"/>
      <c r="K284" s="807"/>
      <c r="L284" s="807"/>
    </row>
    <row r="285" spans="2:12" x14ac:dyDescent="0.2">
      <c r="B285" s="797"/>
      <c r="C285" s="801" t="s">
        <v>529</v>
      </c>
      <c r="D285" s="781">
        <v>0</v>
      </c>
      <c r="E285" s="799">
        <f t="shared" si="14"/>
        <v>0</v>
      </c>
      <c r="F285" s="799">
        <f>IF(SUM($D$29:$D$31)=0,0,D285/SUM($D$29:D$31)*100)</f>
        <v>0</v>
      </c>
      <c r="G285" s="782">
        <f t="shared" si="15"/>
        <v>0</v>
      </c>
      <c r="H285" s="807"/>
      <c r="I285" s="807"/>
      <c r="J285" s="807"/>
      <c r="K285" s="807"/>
      <c r="L285" s="807"/>
    </row>
    <row r="286" spans="2:12" x14ac:dyDescent="0.2">
      <c r="B286" s="797"/>
      <c r="C286" s="801" t="s">
        <v>530</v>
      </c>
      <c r="D286" s="781">
        <v>0</v>
      </c>
      <c r="E286" s="799">
        <f t="shared" si="14"/>
        <v>0</v>
      </c>
      <c r="F286" s="799">
        <f>IF(SUM($D$29:$D$31)=0,0,D286/SUM($D$29:D$31)*100)</f>
        <v>0</v>
      </c>
      <c r="G286" s="782">
        <f t="shared" si="15"/>
        <v>0</v>
      </c>
      <c r="H286" s="807"/>
      <c r="I286" s="807"/>
      <c r="J286" s="807"/>
      <c r="K286" s="807"/>
      <c r="L286" s="807"/>
    </row>
    <row r="287" spans="2:12" x14ac:dyDescent="0.2">
      <c r="B287" s="797"/>
      <c r="C287" s="801" t="s">
        <v>531</v>
      </c>
      <c r="D287" s="781">
        <v>0</v>
      </c>
      <c r="E287" s="799">
        <f t="shared" si="14"/>
        <v>0</v>
      </c>
      <c r="F287" s="799">
        <f>IF(SUM($D$29:$D$31)=0,0,D287/SUM($D$29:D$31)*100)</f>
        <v>0</v>
      </c>
      <c r="G287" s="782">
        <f t="shared" si="15"/>
        <v>0</v>
      </c>
      <c r="H287" s="807"/>
      <c r="I287" s="807"/>
      <c r="J287" s="807"/>
      <c r="K287" s="807"/>
      <c r="L287" s="807"/>
    </row>
    <row r="288" spans="2:12" x14ac:dyDescent="0.2">
      <c r="B288" s="797"/>
      <c r="C288" s="801" t="s">
        <v>532</v>
      </c>
      <c r="D288" s="781">
        <v>368.25609999999995</v>
      </c>
      <c r="E288" s="799">
        <f t="shared" si="14"/>
        <v>3.7852948294469524</v>
      </c>
      <c r="F288" s="799">
        <f>IF(SUM($D$29:$D$31)=0,0,D288/SUM($D$29:D$31)*100)</f>
        <v>12.993263772770119</v>
      </c>
      <c r="G288" s="782">
        <f t="shared" si="15"/>
        <v>29.417457343629994</v>
      </c>
      <c r="H288" s="807"/>
      <c r="I288" s="807"/>
      <c r="J288" s="807"/>
      <c r="K288" s="807"/>
      <c r="L288" s="807"/>
    </row>
    <row r="289" spans="2:12" x14ac:dyDescent="0.2">
      <c r="B289" s="797"/>
      <c r="C289" s="801" t="s">
        <v>533</v>
      </c>
      <c r="D289" s="781">
        <v>0</v>
      </c>
      <c r="E289" s="799">
        <f t="shared" si="14"/>
        <v>0</v>
      </c>
      <c r="F289" s="799">
        <f>IF(SUM($D$29:$D$31)=0,0,D289/SUM($D$29:D$31)*100)</f>
        <v>0</v>
      </c>
      <c r="G289" s="782">
        <f t="shared" si="15"/>
        <v>0</v>
      </c>
      <c r="H289" s="807"/>
      <c r="I289" s="807"/>
      <c r="J289" s="807"/>
      <c r="K289" s="807"/>
      <c r="L289" s="807"/>
    </row>
    <row r="290" spans="2:12" x14ac:dyDescent="0.2">
      <c r="B290" s="797"/>
      <c r="C290" s="801" t="s">
        <v>534</v>
      </c>
      <c r="D290" s="781">
        <v>28.560877999999999</v>
      </c>
      <c r="E290" s="799">
        <f t="shared" si="14"/>
        <v>0.29357651867237294</v>
      </c>
      <c r="F290" s="799">
        <f>IF(SUM($D$29:$D$31)=0,0,D290/SUM($D$29:D$31)*100)</f>
        <v>1.007719957485856</v>
      </c>
      <c r="G290" s="782">
        <f t="shared" si="15"/>
        <v>2.2815329067505474</v>
      </c>
      <c r="H290" s="807"/>
      <c r="I290" s="807"/>
      <c r="J290" s="807"/>
      <c r="K290" s="807"/>
      <c r="L290" s="807"/>
    </row>
    <row r="291" spans="2:12" x14ac:dyDescent="0.2">
      <c r="B291" s="797"/>
      <c r="C291" s="801" t="s">
        <v>535</v>
      </c>
      <c r="D291" s="781">
        <v>1.8503160000000001</v>
      </c>
      <c r="E291" s="799">
        <f t="shared" si="14"/>
        <v>1.9019349815639085E-2</v>
      </c>
      <c r="F291" s="799">
        <f>IF(SUM($D$29:$D$31)=0,0,D291/SUM($D$29:D$31)*100)</f>
        <v>6.5285120466373595E-2</v>
      </c>
      <c r="G291" s="782">
        <f t="shared" si="15"/>
        <v>0.14780907092166587</v>
      </c>
      <c r="H291" s="807"/>
      <c r="I291" s="807"/>
      <c r="J291" s="807"/>
      <c r="K291" s="807"/>
      <c r="L291" s="807"/>
    </row>
    <row r="292" spans="2:12" x14ac:dyDescent="0.2">
      <c r="B292" s="797"/>
      <c r="C292" s="801" t="s">
        <v>536</v>
      </c>
      <c r="D292" s="781">
        <v>18.135672</v>
      </c>
      <c r="E292" s="799">
        <f t="shared" si="14"/>
        <v>0.18641609860677361</v>
      </c>
      <c r="F292" s="799">
        <f>IF(SUM($D$29:$D$31)=0,0,D292/SUM($D$29:D$31)*100)</f>
        <v>0.63988504193804641</v>
      </c>
      <c r="G292" s="782">
        <f t="shared" si="15"/>
        <v>1.4487346101206875</v>
      </c>
      <c r="H292" s="807"/>
      <c r="I292" s="807"/>
      <c r="J292" s="807"/>
      <c r="K292" s="807"/>
      <c r="L292" s="807"/>
    </row>
    <row r="293" spans="2:12" x14ac:dyDescent="0.2">
      <c r="B293" s="797"/>
      <c r="C293" s="801" t="s">
        <v>537</v>
      </c>
      <c r="D293" s="781">
        <v>0</v>
      </c>
      <c r="E293" s="799">
        <f t="shared" si="14"/>
        <v>0</v>
      </c>
      <c r="F293" s="799">
        <f>IF(SUM($D$29:$D$31)=0,0,D293/SUM($D$29:D$31)*100)</f>
        <v>0</v>
      </c>
      <c r="G293" s="782">
        <f t="shared" si="15"/>
        <v>0</v>
      </c>
      <c r="H293" s="807"/>
      <c r="I293" s="807"/>
      <c r="J293" s="807"/>
      <c r="K293" s="807"/>
      <c r="L293" s="807"/>
    </row>
    <row r="294" spans="2:12" x14ac:dyDescent="0.2">
      <c r="B294" s="797"/>
      <c r="C294" s="801" t="s">
        <v>538</v>
      </c>
      <c r="D294" s="781">
        <v>3.854905</v>
      </c>
      <c r="E294" s="799">
        <f t="shared" si="14"/>
        <v>3.9624467767157709E-2</v>
      </c>
      <c r="F294" s="799">
        <f>IF(SUM($D$29:$D$31)=0,0,D294/SUM($D$29:D$31)*100)</f>
        <v>0.13601349029648227</v>
      </c>
      <c r="G294" s="782">
        <f t="shared" si="15"/>
        <v>0.30794195507215222</v>
      </c>
      <c r="H294" s="807"/>
      <c r="I294" s="807"/>
      <c r="J294" s="807"/>
      <c r="K294" s="807"/>
      <c r="L294" s="807"/>
    </row>
    <row r="295" spans="2:12" x14ac:dyDescent="0.2">
      <c r="B295" s="797"/>
      <c r="C295" s="801" t="s">
        <v>539</v>
      </c>
      <c r="D295" s="781">
        <v>0</v>
      </c>
      <c r="E295" s="799">
        <f t="shared" si="14"/>
        <v>0</v>
      </c>
      <c r="F295" s="799">
        <f>IF(SUM($D$29:$D$31)=0,0,D295/SUM($D$29:D$31)*100)</f>
        <v>0</v>
      </c>
      <c r="G295" s="782">
        <f t="shared" si="15"/>
        <v>0</v>
      </c>
      <c r="H295" s="807"/>
      <c r="I295" s="807"/>
      <c r="J295" s="807"/>
      <c r="K295" s="807"/>
      <c r="L295" s="807"/>
    </row>
    <row r="296" spans="2:12" x14ac:dyDescent="0.2">
      <c r="B296" s="797"/>
      <c r="C296" s="801" t="s">
        <v>540</v>
      </c>
      <c r="D296" s="781">
        <v>0</v>
      </c>
      <c r="E296" s="799">
        <f t="shared" si="14"/>
        <v>0</v>
      </c>
      <c r="F296" s="799">
        <f>IF(SUM($D$29:$D$31)=0,0,D296/SUM($D$29:D$31)*100)</f>
        <v>0</v>
      </c>
      <c r="G296" s="782">
        <f t="shared" si="15"/>
        <v>0</v>
      </c>
      <c r="H296" s="807"/>
      <c r="I296" s="807"/>
      <c r="J296" s="807"/>
      <c r="K296" s="807"/>
      <c r="L296" s="807"/>
    </row>
    <row r="297" spans="2:12" x14ac:dyDescent="0.2">
      <c r="B297" s="797"/>
      <c r="C297" s="801" t="s">
        <v>541</v>
      </c>
      <c r="D297" s="781">
        <v>0</v>
      </c>
      <c r="E297" s="799">
        <f t="shared" si="14"/>
        <v>0</v>
      </c>
      <c r="F297" s="799">
        <f>IF(SUM($D$29:$D$31)=0,0,D297/SUM($D$29:D$31)*100)</f>
        <v>0</v>
      </c>
      <c r="G297" s="782">
        <f t="shared" si="15"/>
        <v>0</v>
      </c>
      <c r="H297" s="807"/>
      <c r="I297" s="807"/>
      <c r="J297" s="807"/>
      <c r="K297" s="807"/>
      <c r="L297" s="807"/>
    </row>
    <row r="298" spans="2:12" x14ac:dyDescent="0.2">
      <c r="B298" s="797"/>
      <c r="C298" s="801" t="s">
        <v>542</v>
      </c>
      <c r="D298" s="781">
        <v>0</v>
      </c>
      <c r="E298" s="799">
        <f t="shared" si="14"/>
        <v>0</v>
      </c>
      <c r="F298" s="799">
        <f>IF(SUM($D$29:$D$31)=0,0,D298/SUM($D$29:D$31)*100)</f>
        <v>0</v>
      </c>
      <c r="G298" s="782">
        <f t="shared" si="15"/>
        <v>0</v>
      </c>
      <c r="H298" s="807"/>
      <c r="I298" s="807"/>
      <c r="J298" s="807"/>
      <c r="K298" s="807"/>
      <c r="L298" s="807"/>
    </row>
    <row r="299" spans="2:12" x14ac:dyDescent="0.2">
      <c r="B299" s="797"/>
      <c r="C299" s="801" t="s">
        <v>543</v>
      </c>
      <c r="D299" s="781">
        <v>7.9476170000000002</v>
      </c>
      <c r="E299" s="799">
        <f t="shared" si="14"/>
        <v>8.169334747346943E-2</v>
      </c>
      <c r="F299" s="799">
        <f>IF(SUM($D$29:$D$31)=0,0,D299/SUM($D$29:D$31)*100)</f>
        <v>0.28041757908681475</v>
      </c>
      <c r="G299" s="782">
        <f t="shared" si="15"/>
        <v>0.63488068244085727</v>
      </c>
      <c r="H299" s="807"/>
      <c r="I299" s="807"/>
      <c r="J299" s="807"/>
      <c r="K299" s="807"/>
      <c r="L299" s="807"/>
    </row>
    <row r="300" spans="2:12" x14ac:dyDescent="0.2">
      <c r="B300" s="797"/>
      <c r="C300" s="801" t="s">
        <v>544</v>
      </c>
      <c r="D300" s="781">
        <v>5.6769239999999996</v>
      </c>
      <c r="E300" s="799">
        <f t="shared" si="14"/>
        <v>5.8352953459191344E-2</v>
      </c>
      <c r="F300" s="799">
        <f>IF(SUM($D$29:$D$31)=0,0,D300/SUM($D$29:D$31)*100)</f>
        <v>0.20030020127288928</v>
      </c>
      <c r="G300" s="782">
        <f t="shared" si="15"/>
        <v>0.45349057249297264</v>
      </c>
      <c r="H300" s="807"/>
      <c r="I300" s="807"/>
      <c r="J300" s="807"/>
      <c r="K300" s="807"/>
      <c r="L300" s="807"/>
    </row>
    <row r="301" spans="2:12" x14ac:dyDescent="0.2">
      <c r="B301" s="797"/>
      <c r="C301" s="801" t="s">
        <v>545</v>
      </c>
      <c r="D301" s="781">
        <v>0</v>
      </c>
      <c r="E301" s="799">
        <f t="shared" si="14"/>
        <v>0</v>
      </c>
      <c r="F301" s="799">
        <f>IF(SUM($D$29:$D$31)=0,0,D301/SUM($D$29:D$31)*100)</f>
        <v>0</v>
      </c>
      <c r="G301" s="782">
        <f t="shared" si="15"/>
        <v>0</v>
      </c>
      <c r="H301" s="807"/>
      <c r="I301" s="807"/>
      <c r="J301" s="807"/>
      <c r="K301" s="807"/>
      <c r="L301" s="807"/>
    </row>
    <row r="302" spans="2:12" x14ac:dyDescent="0.2">
      <c r="B302" s="797"/>
      <c r="C302" s="801" t="s">
        <v>546</v>
      </c>
      <c r="D302" s="781">
        <v>3.1875429999999998</v>
      </c>
      <c r="E302" s="799">
        <f t="shared" si="14"/>
        <v>3.2764671207183876E-2</v>
      </c>
      <c r="F302" s="799">
        <f>IF(SUM($D$29:$D$31)=0,0,D302/SUM($D$29:D$31)*100)</f>
        <v>0.11246680499263145</v>
      </c>
      <c r="G302" s="782">
        <f t="shared" si="15"/>
        <v>0.2546309761969629</v>
      </c>
      <c r="H302" s="807"/>
      <c r="I302" s="807"/>
      <c r="J302" s="807"/>
      <c r="K302" s="807"/>
      <c r="L302" s="807"/>
    </row>
    <row r="303" spans="2:12" x14ac:dyDescent="0.2">
      <c r="B303" s="802"/>
      <c r="C303" s="803" t="s">
        <v>547</v>
      </c>
      <c r="D303" s="804">
        <v>0</v>
      </c>
      <c r="E303" s="805">
        <f t="shared" si="14"/>
        <v>0</v>
      </c>
      <c r="F303" s="805">
        <f>IF(SUM($D$29:$D$31)=0,0,D303/SUM($D$29:D$31)*100)</f>
        <v>0</v>
      </c>
      <c r="G303" s="785">
        <f t="shared" si="15"/>
        <v>0</v>
      </c>
      <c r="H303" s="807"/>
      <c r="I303" s="807"/>
      <c r="J303" s="807"/>
      <c r="K303" s="807"/>
      <c r="L303" s="807"/>
    </row>
    <row r="304" spans="2:12" x14ac:dyDescent="0.2">
      <c r="D304" s="788"/>
      <c r="H304" s="807"/>
      <c r="I304" s="807"/>
      <c r="J304" s="807"/>
      <c r="K304" s="807"/>
      <c r="L304" s="807"/>
    </row>
    <row r="305" spans="2:12" x14ac:dyDescent="0.2">
      <c r="D305" s="788"/>
      <c r="H305" s="807"/>
      <c r="I305" s="807"/>
      <c r="J305" s="807"/>
      <c r="K305" s="807"/>
      <c r="L305" s="807"/>
    </row>
    <row r="306" spans="2:12" x14ac:dyDescent="0.2">
      <c r="D306" s="788"/>
      <c r="H306" s="807"/>
      <c r="I306" s="807"/>
      <c r="J306" s="807"/>
      <c r="K306" s="807"/>
      <c r="L306" s="807"/>
    </row>
    <row r="307" spans="2:12" x14ac:dyDescent="0.2">
      <c r="B307" s="774" t="s">
        <v>549</v>
      </c>
      <c r="D307" s="788"/>
      <c r="H307" s="807"/>
      <c r="I307" s="807"/>
      <c r="J307" s="807"/>
      <c r="K307" s="807"/>
      <c r="L307" s="807"/>
    </row>
    <row r="308" spans="2:12" x14ac:dyDescent="0.2">
      <c r="B308" s="774"/>
      <c r="D308" s="788"/>
      <c r="H308" s="807"/>
      <c r="I308" s="807"/>
      <c r="J308" s="807"/>
      <c r="K308" s="807"/>
      <c r="L308" s="807"/>
    </row>
    <row r="309" spans="2:12" ht="38.25" x14ac:dyDescent="0.2">
      <c r="B309" s="790"/>
      <c r="C309" s="791" t="s">
        <v>512</v>
      </c>
      <c r="D309" s="792" t="s">
        <v>513</v>
      </c>
      <c r="E309" s="792" t="s">
        <v>514</v>
      </c>
      <c r="F309" s="792" t="s">
        <v>515</v>
      </c>
      <c r="G309" s="793" t="s">
        <v>516</v>
      </c>
    </row>
    <row r="310" spans="2:12" x14ac:dyDescent="0.2">
      <c r="B310" s="794" t="s">
        <v>501</v>
      </c>
      <c r="C310" s="795" t="s">
        <v>517</v>
      </c>
      <c r="D310" s="779">
        <v>0</v>
      </c>
      <c r="E310" s="796">
        <f>IF($C$4=0,0,D310/$C$4*100)</f>
        <v>0</v>
      </c>
      <c r="F310" s="796">
        <f>IF(SUM($D$14:$D$16)=0,0,D310/SUM($D$14:D$16)*100)</f>
        <v>0</v>
      </c>
      <c r="G310" s="780">
        <f>IF($D$16=0,0,D310/$D$16*100)</f>
        <v>0</v>
      </c>
    </row>
    <row r="311" spans="2:12" x14ac:dyDescent="0.2">
      <c r="B311" s="797"/>
      <c r="C311" s="798" t="s">
        <v>987</v>
      </c>
      <c r="D311" s="781">
        <v>2</v>
      </c>
      <c r="E311" s="799">
        <f t="shared" ref="E311:E341" si="16">IF($C$4=0,0,D311/$C$4*100)</f>
        <v>1.8832153995928802E-2</v>
      </c>
      <c r="F311" s="799">
        <f>IF(SUM($D$14:$D$16)=0,0,D311/SUM($D$14:D$16)*100)</f>
        <v>3.4085213136118495E-2</v>
      </c>
      <c r="G311" s="782">
        <f>IF($D$16=0,0,D311/$D$16*100)</f>
        <v>0.25816952016876316</v>
      </c>
    </row>
    <row r="312" spans="2:12" x14ac:dyDescent="0.2">
      <c r="B312" s="797"/>
      <c r="C312" s="800" t="s">
        <v>518</v>
      </c>
      <c r="D312" s="781">
        <v>21.278596999999998</v>
      </c>
      <c r="E312" s="799">
        <f t="shared" si="16"/>
        <v>0.20036090776065427</v>
      </c>
      <c r="F312" s="799">
        <f>IF(SUM($D$14:$D$16)=0,0,D312/SUM($D$14:D$16)*100)</f>
        <v>0.36264275699128573</v>
      </c>
      <c r="G312" s="782">
        <f t="shared" ref="G312:G341" si="17">IF($D$16=0,0,D312/$D$16*100)</f>
        <v>2.7467425886772414</v>
      </c>
    </row>
    <row r="313" spans="2:12" x14ac:dyDescent="0.2">
      <c r="B313" s="797"/>
      <c r="C313" s="800" t="s">
        <v>519</v>
      </c>
      <c r="D313" s="781">
        <v>186.42906300000001</v>
      </c>
      <c r="E313" s="799">
        <f t="shared" si="16"/>
        <v>1.7554304118663562</v>
      </c>
      <c r="F313" s="799">
        <f>IF(SUM($D$14:$D$16)=0,0,D313/SUM($D$14:D$16)*100)</f>
        <v>3.1772371735609317</v>
      </c>
      <c r="G313" s="782">
        <f t="shared" si="17"/>
        <v>24.065150870111061</v>
      </c>
    </row>
    <row r="314" spans="2:12" x14ac:dyDescent="0.2">
      <c r="B314" s="797"/>
      <c r="C314" s="800" t="s">
        <v>520</v>
      </c>
      <c r="D314" s="781">
        <v>99.176160999999993</v>
      </c>
      <c r="E314" s="799">
        <f t="shared" si="16"/>
        <v>0.93385036833851398</v>
      </c>
      <c r="F314" s="799">
        <f>IF(SUM($D$14:$D$16)=0,0,D314/SUM($D$14:D$16)*100)</f>
        <v>1.6902202928535015</v>
      </c>
      <c r="G314" s="782">
        <f t="shared" si="17"/>
        <v>12.802130948775</v>
      </c>
    </row>
    <row r="315" spans="2:12" x14ac:dyDescent="0.2">
      <c r="B315" s="797"/>
      <c r="C315" s="800" t="s">
        <v>521</v>
      </c>
      <c r="D315" s="781">
        <v>34.408977</v>
      </c>
      <c r="E315" s="799">
        <f t="shared" si="16"/>
        <v>0.32399757685318609</v>
      </c>
      <c r="F315" s="799">
        <f>IF(SUM($D$14:$D$16)=0,0,D315/SUM($D$14:D$16)*100)</f>
        <v>0.58641865742039967</v>
      </c>
      <c r="G315" s="782">
        <f t="shared" si="17"/>
        <v>4.4416745407940041</v>
      </c>
    </row>
    <row r="316" spans="2:12" x14ac:dyDescent="0.2">
      <c r="B316" s="797"/>
      <c r="C316" s="800" t="s">
        <v>522</v>
      </c>
      <c r="D316" s="781">
        <v>126.050442</v>
      </c>
      <c r="E316" s="799">
        <f t="shared" si="16"/>
        <v>1.186900667499446</v>
      </c>
      <c r="F316" s="799">
        <f>IF(SUM($D$14:$D$16)=0,0,D316/SUM($D$14:D$16)*100)</f>
        <v>2.1482280907359717</v>
      </c>
      <c r="G316" s="782">
        <f t="shared" si="17"/>
        <v>16.271191064100258</v>
      </c>
    </row>
    <row r="317" spans="2:12" x14ac:dyDescent="0.2">
      <c r="B317" s="797"/>
      <c r="C317" s="800" t="s">
        <v>523</v>
      </c>
      <c r="D317" s="781">
        <v>0</v>
      </c>
      <c r="E317" s="799">
        <f t="shared" si="16"/>
        <v>0</v>
      </c>
      <c r="F317" s="799">
        <f>IF(SUM($D$14:$D$16)=0,0,D317/SUM($D$14:D$16)*100)</f>
        <v>0</v>
      </c>
      <c r="G317" s="782">
        <f t="shared" si="17"/>
        <v>0</v>
      </c>
    </row>
    <row r="318" spans="2:12" x14ac:dyDescent="0.2">
      <c r="B318" s="797"/>
      <c r="C318" s="800" t="s">
        <v>524</v>
      </c>
      <c r="D318" s="781">
        <v>147.34798199999997</v>
      </c>
      <c r="E318" s="799">
        <f t="shared" si="16"/>
        <v>1.3874399440066723</v>
      </c>
      <c r="F318" s="799">
        <f>IF(SUM($D$14:$D$16)=0,0,D318/SUM($D$14:D$16)*100)</f>
        <v>2.5111936858234754</v>
      </c>
      <c r="G318" s="782">
        <f t="shared" si="17"/>
        <v>19.020378905387773</v>
      </c>
    </row>
    <row r="319" spans="2:12" x14ac:dyDescent="0.2">
      <c r="B319" s="797"/>
      <c r="C319" s="800" t="s">
        <v>525</v>
      </c>
      <c r="D319" s="781">
        <v>78.731197999999978</v>
      </c>
      <c r="E319" s="799">
        <f t="shared" si="16"/>
        <v>0.74133902250998063</v>
      </c>
      <c r="F319" s="799">
        <f>IF(SUM($D$14:$D$16)=0,0,D319/SUM($D$14:D$16)*100)</f>
        <v>1.3417848321459729</v>
      </c>
      <c r="G319" s="782">
        <f t="shared" si="17"/>
        <v>10.16299780498594</v>
      </c>
    </row>
    <row r="320" spans="2:12" x14ac:dyDescent="0.2">
      <c r="B320" s="797"/>
      <c r="C320" s="800" t="s">
        <v>526</v>
      </c>
      <c r="D320" s="781">
        <v>60.388504000000005</v>
      </c>
      <c r="E320" s="799">
        <f t="shared" si="16"/>
        <v>0.56862280345588123</v>
      </c>
      <c r="F320" s="799">
        <f>IF(SUM($D$14:$D$16)=0,0,D320/SUM($D$14:D$16)*100)</f>
        <v>1.0291775149056723</v>
      </c>
      <c r="G320" s="782">
        <f t="shared" si="17"/>
        <v>7.7952355506947182</v>
      </c>
    </row>
    <row r="321" spans="2:7" x14ac:dyDescent="0.2">
      <c r="B321" s="797"/>
      <c r="C321" s="800" t="s">
        <v>527</v>
      </c>
      <c r="D321" s="781">
        <v>16.534320000000001</v>
      </c>
      <c r="E321" s="799">
        <f t="shared" si="16"/>
        <v>0.15568843022898277</v>
      </c>
      <c r="F321" s="799">
        <f>IF(SUM($D$14:$D$16)=0,0,D321/SUM($D$14:D$16)*100)</f>
        <v>0.28178791063039343</v>
      </c>
      <c r="G321" s="782">
        <f t="shared" si="17"/>
        <v>2.1343287303583924</v>
      </c>
    </row>
    <row r="322" spans="2:7" x14ac:dyDescent="0.2">
      <c r="B322" s="797"/>
      <c r="C322" s="801" t="s">
        <v>528</v>
      </c>
      <c r="D322" s="781">
        <v>4.6998920000000002</v>
      </c>
      <c r="E322" s="799">
        <f t="shared" si="16"/>
        <v>4.425454495411691E-2</v>
      </c>
      <c r="F322" s="799">
        <f>IF(SUM($D$14:$D$16)=0,0,D322/SUM($D$14:D$16)*100)</f>
        <v>8.0098410268369127E-2</v>
      </c>
      <c r="G322" s="782">
        <f t="shared" si="17"/>
        <v>0.60668443124250437</v>
      </c>
    </row>
    <row r="323" spans="2:7" x14ac:dyDescent="0.2">
      <c r="B323" s="797"/>
      <c r="C323" s="801" t="s">
        <v>529</v>
      </c>
      <c r="D323" s="781">
        <v>0</v>
      </c>
      <c r="E323" s="799">
        <f t="shared" si="16"/>
        <v>0</v>
      </c>
      <c r="F323" s="799">
        <f>IF(SUM($D$14:$D$16)=0,0,D323/SUM($D$14:D$16)*100)</f>
        <v>0</v>
      </c>
      <c r="G323" s="782">
        <f t="shared" si="17"/>
        <v>0</v>
      </c>
    </row>
    <row r="324" spans="2:7" x14ac:dyDescent="0.2">
      <c r="B324" s="797"/>
      <c r="C324" s="801" t="s">
        <v>530</v>
      </c>
      <c r="D324" s="781">
        <v>0</v>
      </c>
      <c r="E324" s="799">
        <f t="shared" si="16"/>
        <v>0</v>
      </c>
      <c r="F324" s="799">
        <f>IF(SUM($D$14:$D$16)=0,0,D324/SUM($D$14:D$16)*100)</f>
        <v>0</v>
      </c>
      <c r="G324" s="782">
        <f t="shared" si="17"/>
        <v>0</v>
      </c>
    </row>
    <row r="325" spans="2:7" x14ac:dyDescent="0.2">
      <c r="B325" s="797"/>
      <c r="C325" s="801" t="s">
        <v>531</v>
      </c>
      <c r="D325" s="781">
        <v>2.69367</v>
      </c>
      <c r="E325" s="799">
        <f t="shared" si="16"/>
        <v>2.5363804127106766E-2</v>
      </c>
      <c r="F325" s="799">
        <f>IF(SUM($D$14:$D$16)=0,0,D325/SUM($D$14:D$16)*100)</f>
        <v>4.5907158034184159E-2</v>
      </c>
      <c r="G325" s="782">
        <f t="shared" si="17"/>
        <v>0.34771174569649616</v>
      </c>
    </row>
    <row r="326" spans="2:7" x14ac:dyDescent="0.2">
      <c r="B326" s="797"/>
      <c r="C326" s="801" t="s">
        <v>532</v>
      </c>
      <c r="D326" s="781">
        <v>253.71150499999999</v>
      </c>
      <c r="E326" s="799">
        <f t="shared" si="16"/>
        <v>2.38896706634943</v>
      </c>
      <c r="F326" s="799">
        <f>IF(SUM($D$14:$D$16)=0,0,D326/SUM($D$14:D$16)*100)</f>
        <v>4.3239053615051963</v>
      </c>
      <c r="G326" s="782">
        <f t="shared" si="17"/>
        <v>32.750288753572377</v>
      </c>
    </row>
    <row r="327" spans="2:7" x14ac:dyDescent="0.2">
      <c r="B327" s="797"/>
      <c r="C327" s="801" t="s">
        <v>533</v>
      </c>
      <c r="D327" s="781">
        <v>14.520371999999998</v>
      </c>
      <c r="E327" s="799">
        <f t="shared" si="16"/>
        <v>0.13672494079108632</v>
      </c>
      <c r="F327" s="799">
        <f>IF(SUM($D$14:$D$16)=0,0,D327/SUM($D$14:D$16)*100)</f>
        <v>0.24746498721786356</v>
      </c>
      <c r="G327" s="782">
        <f t="shared" si="17"/>
        <v>1.8743587359559717</v>
      </c>
    </row>
    <row r="328" spans="2:7" x14ac:dyDescent="0.2">
      <c r="B328" s="797"/>
      <c r="C328" s="801" t="s">
        <v>534</v>
      </c>
      <c r="D328" s="781">
        <v>190.35596199999998</v>
      </c>
      <c r="E328" s="799">
        <f t="shared" si="16"/>
        <v>1.7924063952135854</v>
      </c>
      <c r="F328" s="799">
        <f>IF(SUM($D$14:$D$16)=0,0,D328/SUM($D$14:D$16)*100)</f>
        <v>3.2441617682504367</v>
      </c>
      <c r="G328" s="782">
        <f t="shared" si="17"/>
        <v>24.572053685401656</v>
      </c>
    </row>
    <row r="329" spans="2:7" x14ac:dyDescent="0.2">
      <c r="B329" s="797"/>
      <c r="C329" s="801" t="s">
        <v>535</v>
      </c>
      <c r="D329" s="781">
        <v>0</v>
      </c>
      <c r="E329" s="799">
        <f t="shared" si="16"/>
        <v>0</v>
      </c>
      <c r="F329" s="799">
        <f>IF(SUM($D$14:$D$16)=0,0,D329/SUM($D$14:D$16)*100)</f>
        <v>0</v>
      </c>
      <c r="G329" s="782">
        <f t="shared" si="17"/>
        <v>0</v>
      </c>
    </row>
    <row r="330" spans="2:7" x14ac:dyDescent="0.2">
      <c r="B330" s="797"/>
      <c r="C330" s="801" t="s">
        <v>536</v>
      </c>
      <c r="D330" s="781">
        <v>9.7760840000000009</v>
      </c>
      <c r="E330" s="799">
        <f t="shared" si="16"/>
        <v>9.2052359682567822E-2</v>
      </c>
      <c r="F330" s="799">
        <f>IF(SUM($D$14:$D$16)=0,0,D330/SUM($D$14:D$16)*100)</f>
        <v>0.16660995338829893</v>
      </c>
      <c r="G330" s="782">
        <f t="shared" si="17"/>
        <v>1.2619434577047615</v>
      </c>
    </row>
    <row r="331" spans="2:7" x14ac:dyDescent="0.2">
      <c r="B331" s="797"/>
      <c r="C331" s="801" t="s">
        <v>537</v>
      </c>
      <c r="D331" s="781">
        <v>40.786736999999995</v>
      </c>
      <c r="E331" s="799">
        <f t="shared" si="16"/>
        <v>0.3840510560877235</v>
      </c>
      <c r="F331" s="799">
        <f>IF(SUM($D$14:$D$16)=0,0,D331/SUM($D$14:D$16)*100)</f>
        <v>0.69511231188590505</v>
      </c>
      <c r="G331" s="782">
        <f t="shared" si="17"/>
        <v>5.2649461602697691</v>
      </c>
    </row>
    <row r="332" spans="2:7" x14ac:dyDescent="0.2">
      <c r="B332" s="797"/>
      <c r="C332" s="801" t="s">
        <v>538</v>
      </c>
      <c r="D332" s="781">
        <v>187.26032099999998</v>
      </c>
      <c r="E332" s="799">
        <f t="shared" si="16"/>
        <v>1.7632576011995298</v>
      </c>
      <c r="F332" s="799">
        <f>IF(SUM($D$14:$D$16)=0,0,D332/SUM($D$14:D$16)*100)</f>
        <v>3.191403976611483</v>
      </c>
      <c r="G332" s="782">
        <f t="shared" si="17"/>
        <v>24.172453609609278</v>
      </c>
    </row>
    <row r="333" spans="2:7" x14ac:dyDescent="0.2">
      <c r="B333" s="797"/>
      <c r="C333" s="801" t="s">
        <v>539</v>
      </c>
      <c r="D333" s="781">
        <v>7.5926100000000005</v>
      </c>
      <c r="E333" s="799">
        <f t="shared" si="16"/>
        <v>7.1492600375514498E-2</v>
      </c>
      <c r="F333" s="799">
        <f>IF(SUM($D$14:$D$16)=0,0,D333/SUM($D$14:D$16)*100)</f>
        <v>0.12939786505471235</v>
      </c>
      <c r="G333" s="782">
        <f t="shared" si="17"/>
        <v>0.98009024026427649</v>
      </c>
    </row>
    <row r="334" spans="2:7" x14ac:dyDescent="0.2">
      <c r="B334" s="797"/>
      <c r="C334" s="801" t="s">
        <v>540</v>
      </c>
      <c r="D334" s="781">
        <v>0</v>
      </c>
      <c r="E334" s="799">
        <f t="shared" si="16"/>
        <v>0</v>
      </c>
      <c r="F334" s="799">
        <f>IF(SUM($D$14:$D$16)=0,0,D334/SUM($D$14:D$16)*100)</f>
        <v>0</v>
      </c>
      <c r="G334" s="782">
        <f t="shared" si="17"/>
        <v>0</v>
      </c>
    </row>
    <row r="335" spans="2:7" x14ac:dyDescent="0.2">
      <c r="B335" s="797"/>
      <c r="C335" s="801" t="s">
        <v>541</v>
      </c>
      <c r="D335" s="781">
        <v>0</v>
      </c>
      <c r="E335" s="799">
        <f t="shared" si="16"/>
        <v>0</v>
      </c>
      <c r="F335" s="799">
        <f>IF(SUM($D$14:$D$16)=0,0,D335/SUM($D$14:D$16)*100)</f>
        <v>0</v>
      </c>
      <c r="G335" s="782">
        <f t="shared" si="17"/>
        <v>0</v>
      </c>
    </row>
    <row r="336" spans="2:7" x14ac:dyDescent="0.2">
      <c r="B336" s="797"/>
      <c r="C336" s="801" t="s">
        <v>542</v>
      </c>
      <c r="D336" s="781">
        <v>0</v>
      </c>
      <c r="E336" s="799">
        <f t="shared" si="16"/>
        <v>0</v>
      </c>
      <c r="F336" s="799">
        <f>IF(SUM($D$14:$D$16)=0,0,D336/SUM($D$14:D$16)*100)</f>
        <v>0</v>
      </c>
      <c r="G336" s="782">
        <f t="shared" si="17"/>
        <v>0</v>
      </c>
    </row>
    <row r="337" spans="2:7" x14ac:dyDescent="0.2">
      <c r="B337" s="797"/>
      <c r="C337" s="801" t="s">
        <v>543</v>
      </c>
      <c r="D337" s="781">
        <v>134.29598199999998</v>
      </c>
      <c r="E337" s="799">
        <f t="shared" si="16"/>
        <v>1.2645413070292411</v>
      </c>
      <c r="F337" s="799">
        <f>IF(SUM($D$14:$D$16)=0,0,D337/SUM($D$14:D$16)*100)</f>
        <v>2.2887535848971661</v>
      </c>
      <c r="G337" s="782">
        <f t="shared" si="17"/>
        <v>17.335564616766426</v>
      </c>
    </row>
    <row r="338" spans="2:7" x14ac:dyDescent="0.2">
      <c r="B338" s="797"/>
      <c r="C338" s="801" t="s">
        <v>544</v>
      </c>
      <c r="D338" s="781">
        <v>210.338741</v>
      </c>
      <c r="E338" s="799">
        <f t="shared" si="16"/>
        <v>1.9805657809108916</v>
      </c>
      <c r="F338" s="799">
        <f>IF(SUM($D$14:$D$16)=0,0,D338/SUM($D$14:D$16)*100)</f>
        <v>3.5847204088839133</v>
      </c>
      <c r="G338" s="782">
        <f t="shared" si="17"/>
        <v>27.151525918435876</v>
      </c>
    </row>
    <row r="339" spans="2:7" x14ac:dyDescent="0.2">
      <c r="B339" s="797"/>
      <c r="C339" s="801" t="s">
        <v>545</v>
      </c>
      <c r="D339" s="781">
        <v>10.178782999999999</v>
      </c>
      <c r="E339" s="799">
        <f t="shared" si="16"/>
        <v>9.5844204473571074E-2</v>
      </c>
      <c r="F339" s="799">
        <f>IF(SUM($D$14:$D$16)=0,0,D339/SUM($D$14:D$16)*100)</f>
        <v>0.17347299401064981</v>
      </c>
      <c r="G339" s="782">
        <f t="shared" si="17"/>
        <v>1.3139257615059816</v>
      </c>
    </row>
    <row r="340" spans="2:7" x14ac:dyDescent="0.2">
      <c r="B340" s="797"/>
      <c r="C340" s="801" t="s">
        <v>546</v>
      </c>
      <c r="D340" s="781">
        <v>18.021443000000001</v>
      </c>
      <c r="E340" s="799">
        <f t="shared" si="16"/>
        <v>0.16969129490242657</v>
      </c>
      <c r="F340" s="799">
        <f>IF(SUM($D$14:$D$16)=0,0,D340/SUM($D$14:D$16)*100)</f>
        <v>0.3071323628377054</v>
      </c>
      <c r="G340" s="782">
        <f t="shared" si="17"/>
        <v>2.3262936460293582</v>
      </c>
    </row>
    <row r="341" spans="2:7" x14ac:dyDescent="0.2">
      <c r="B341" s="802"/>
      <c r="C341" s="803" t="s">
        <v>547</v>
      </c>
      <c r="D341" s="804">
        <v>1.68428</v>
      </c>
      <c r="E341" s="805">
        <f t="shared" si="16"/>
        <v>1.5859310166131482E-2</v>
      </c>
      <c r="F341" s="805">
        <f>IF(SUM($D$14:$D$16)=0,0,D341/SUM($D$14:D$16)*100)</f>
        <v>2.8704521390450828E-2</v>
      </c>
      <c r="G341" s="785">
        <f t="shared" si="17"/>
        <v>0.21741487971492224</v>
      </c>
    </row>
    <row r="342" spans="2:7" x14ac:dyDescent="0.2">
      <c r="D342" s="788"/>
      <c r="E342" s="789"/>
      <c r="F342" s="789"/>
      <c r="G342" s="789"/>
    </row>
    <row r="343" spans="2:7" x14ac:dyDescent="0.2">
      <c r="B343" s="794" t="s">
        <v>20</v>
      </c>
      <c r="C343" s="795" t="s">
        <v>517</v>
      </c>
      <c r="D343" s="779">
        <v>0</v>
      </c>
      <c r="E343" s="796">
        <f>IF($C$5=0,0,D343/$C$5*100)</f>
        <v>0</v>
      </c>
      <c r="F343" s="796">
        <f>IF(SUM($D$19:$D$21)=0,0,D343/SUM($D$19:D$21)*100)</f>
        <v>0</v>
      </c>
      <c r="G343" s="780">
        <f>IF($D$21=0,0,D343/$D$21*100)</f>
        <v>0</v>
      </c>
    </row>
    <row r="344" spans="2:7" x14ac:dyDescent="0.2">
      <c r="B344" s="797"/>
      <c r="C344" s="798" t="s">
        <v>987</v>
      </c>
      <c r="D344" s="781">
        <v>2</v>
      </c>
      <c r="E344" s="799">
        <f t="shared" ref="E344:E374" si="18">IF($C$5=0,0,D344/$C$5*100)</f>
        <v>9.8487326601323061E-2</v>
      </c>
      <c r="F344" s="799">
        <f>IF(SUM($D$19:$D$21)=0,0,D344/SUM($D$19:D$21)*100)</f>
        <v>0.13641604157812526</v>
      </c>
      <c r="G344" s="782">
        <f t="shared" ref="G344:G374" si="19">IF($D$21=0,0,D344/$D$21*100)</f>
        <v>0.81679811317022089</v>
      </c>
    </row>
    <row r="345" spans="2:7" x14ac:dyDescent="0.2">
      <c r="B345" s="797"/>
      <c r="C345" s="800" t="s">
        <v>518</v>
      </c>
      <c r="D345" s="781">
        <v>25.498536000000001</v>
      </c>
      <c r="E345" s="799">
        <f t="shared" si="18"/>
        <v>1.2556413214437969</v>
      </c>
      <c r="F345" s="799">
        <f>IF(SUM($D$19:$D$21)=0,0,D345/SUM($D$19:D$21)*100)</f>
        <v>1.7392046735786622</v>
      </c>
      <c r="G345" s="782">
        <f t="shared" si="19"/>
        <v>10.413578046701476</v>
      </c>
    </row>
    <row r="346" spans="2:7" x14ac:dyDescent="0.2">
      <c r="B346" s="797"/>
      <c r="C346" s="800" t="s">
        <v>519</v>
      </c>
      <c r="D346" s="781">
        <v>130.17682599999998</v>
      </c>
      <c r="E346" s="799">
        <f t="shared" si="18"/>
        <v>6.4103837890928013</v>
      </c>
      <c r="F346" s="799">
        <f>IF(SUM($D$19:$D$21)=0,0,D346/SUM($D$19:D$21)*100)</f>
        <v>8.8791036540621882</v>
      </c>
      <c r="G346" s="782">
        <f t="shared" si="19"/>
        <v>53.16409292764407</v>
      </c>
    </row>
    <row r="347" spans="2:7" x14ac:dyDescent="0.2">
      <c r="B347" s="797"/>
      <c r="C347" s="800" t="s">
        <v>520</v>
      </c>
      <c r="D347" s="781">
        <v>27.537907000000001</v>
      </c>
      <c r="E347" s="799">
        <f t="shared" si="18"/>
        <v>1.3560674203129304</v>
      </c>
      <c r="F347" s="799">
        <f>IF(SUM($D$19:$D$21)=0,0,D347/SUM($D$19:D$21)*100)</f>
        <v>1.8783061331432735</v>
      </c>
      <c r="G347" s="782">
        <f t="shared" si="19"/>
        <v>11.24645523912851</v>
      </c>
    </row>
    <row r="348" spans="2:7" x14ac:dyDescent="0.2">
      <c r="B348" s="797"/>
      <c r="C348" s="800" t="s">
        <v>521</v>
      </c>
      <c r="D348" s="781">
        <v>0</v>
      </c>
      <c r="E348" s="799">
        <f t="shared" si="18"/>
        <v>0</v>
      </c>
      <c r="F348" s="799">
        <f>IF(SUM($D$19:$D$21)=0,0,D348/SUM($D$19:D$21)*100)</f>
        <v>0</v>
      </c>
      <c r="G348" s="782">
        <f t="shared" si="19"/>
        <v>0</v>
      </c>
    </row>
    <row r="349" spans="2:7" x14ac:dyDescent="0.2">
      <c r="B349" s="797"/>
      <c r="C349" s="800" t="s">
        <v>522</v>
      </c>
      <c r="D349" s="781">
        <v>6.5977739999999994</v>
      </c>
      <c r="E349" s="799">
        <f t="shared" si="18"/>
        <v>0.32489856138985879</v>
      </c>
      <c r="F349" s="799">
        <f>IF(SUM($D$19:$D$21)=0,0,D349/SUM($D$19:D$21)*100)</f>
        <v>0.45002110615353691</v>
      </c>
      <c r="G349" s="782">
        <f t="shared" si="19"/>
        <v>2.6945246771617701</v>
      </c>
    </row>
    <row r="350" spans="2:7" x14ac:dyDescent="0.2">
      <c r="B350" s="797"/>
      <c r="C350" s="800" t="s">
        <v>523</v>
      </c>
      <c r="D350" s="781">
        <v>0</v>
      </c>
      <c r="E350" s="799">
        <f t="shared" si="18"/>
        <v>0</v>
      </c>
      <c r="F350" s="799">
        <f>IF(SUM($D$19:$D$21)=0,0,D350/SUM($D$19:D$21)*100)</f>
        <v>0</v>
      </c>
      <c r="G350" s="782">
        <f t="shared" si="19"/>
        <v>0</v>
      </c>
    </row>
    <row r="351" spans="2:7" x14ac:dyDescent="0.2">
      <c r="B351" s="797"/>
      <c r="C351" s="800" t="s">
        <v>524</v>
      </c>
      <c r="D351" s="781">
        <v>145.89772299999998</v>
      </c>
      <c r="E351" s="799">
        <f t="shared" si="18"/>
        <v>7.184538347745181</v>
      </c>
      <c r="F351" s="799">
        <f>IF(SUM($D$19:$D$21)=0,0,D351/SUM($D$19:D$21)*100)</f>
        <v>9.9513949234609012</v>
      </c>
      <c r="G351" s="782">
        <f t="shared" si="19"/>
        <v>59.584492431115763</v>
      </c>
    </row>
    <row r="352" spans="2:7" x14ac:dyDescent="0.2">
      <c r="B352" s="797"/>
      <c r="C352" s="800" t="s">
        <v>525</v>
      </c>
      <c r="D352" s="781">
        <v>11.1342</v>
      </c>
      <c r="E352" s="799">
        <f t="shared" si="18"/>
        <v>0.54828879592222568</v>
      </c>
      <c r="F352" s="799">
        <f>IF(SUM($D$19:$D$21)=0,0,D352/SUM($D$19:D$21)*100)</f>
        <v>0.75944174506958118</v>
      </c>
      <c r="G352" s="782">
        <f t="shared" si="19"/>
        <v>4.5471967758299368</v>
      </c>
    </row>
    <row r="353" spans="2:7" x14ac:dyDescent="0.2">
      <c r="B353" s="797"/>
      <c r="C353" s="800" t="s">
        <v>526</v>
      </c>
      <c r="D353" s="781">
        <v>1.042746</v>
      </c>
      <c r="E353" s="799">
        <f t="shared" si="18"/>
        <v>5.1348632932111615E-2</v>
      </c>
      <c r="F353" s="799">
        <f>IF(SUM($D$19:$D$21)=0,0,D353/SUM($D$19:D$21)*100)</f>
        <v>7.1123640845711905E-2</v>
      </c>
      <c r="G353" s="782">
        <f t="shared" si="19"/>
        <v>0.42585648265789755</v>
      </c>
    </row>
    <row r="354" spans="2:7" x14ac:dyDescent="0.2">
      <c r="B354" s="797"/>
      <c r="C354" s="800" t="s">
        <v>527</v>
      </c>
      <c r="D354" s="781">
        <v>5.8070440000000003</v>
      </c>
      <c r="E354" s="799">
        <f t="shared" si="18"/>
        <v>0.28596011950812678</v>
      </c>
      <c r="F354" s="799">
        <f>IF(SUM($D$19:$D$21)=0,0,D354/SUM($D$19:D$21)*100)</f>
        <v>0.39608697787500147</v>
      </c>
      <c r="G354" s="782">
        <f t="shared" si="19"/>
        <v>2.3715912911482264</v>
      </c>
    </row>
    <row r="355" spans="2:7" x14ac:dyDescent="0.2">
      <c r="B355" s="797"/>
      <c r="C355" s="801" t="s">
        <v>528</v>
      </c>
      <c r="D355" s="781">
        <v>0</v>
      </c>
      <c r="E355" s="799">
        <f t="shared" si="18"/>
        <v>0</v>
      </c>
      <c r="F355" s="799">
        <f>IF(SUM($D$19:$D$21)=0,0,D355/SUM($D$19:D$21)*100)</f>
        <v>0</v>
      </c>
      <c r="G355" s="782">
        <f t="shared" si="19"/>
        <v>0</v>
      </c>
    </row>
    <row r="356" spans="2:7" x14ac:dyDescent="0.2">
      <c r="B356" s="797"/>
      <c r="C356" s="801" t="s">
        <v>529</v>
      </c>
      <c r="D356" s="781">
        <v>2</v>
      </c>
      <c r="E356" s="799">
        <f t="shared" si="18"/>
        <v>9.8487326601323061E-2</v>
      </c>
      <c r="F356" s="799">
        <f>IF(SUM($D$19:$D$21)=0,0,D356/SUM($D$19:D$21)*100)</f>
        <v>0.13641604157812526</v>
      </c>
      <c r="G356" s="782">
        <f t="shared" si="19"/>
        <v>0.81679811317022089</v>
      </c>
    </row>
    <row r="357" spans="2:7" x14ac:dyDescent="0.2">
      <c r="B357" s="797"/>
      <c r="C357" s="801" t="s">
        <v>530</v>
      </c>
      <c r="D357" s="781">
        <v>0</v>
      </c>
      <c r="E357" s="799">
        <f t="shared" si="18"/>
        <v>0</v>
      </c>
      <c r="F357" s="799">
        <f>IF(SUM($D$19:$D$21)=0,0,D357/SUM($D$19:D$21)*100)</f>
        <v>0</v>
      </c>
      <c r="G357" s="782">
        <f t="shared" si="19"/>
        <v>0</v>
      </c>
    </row>
    <row r="358" spans="2:7" x14ac:dyDescent="0.2">
      <c r="B358" s="797"/>
      <c r="C358" s="801" t="s">
        <v>531</v>
      </c>
      <c r="D358" s="781">
        <v>0</v>
      </c>
      <c r="E358" s="799">
        <f t="shared" si="18"/>
        <v>0</v>
      </c>
      <c r="F358" s="799">
        <f>IF(SUM($D$19:$D$21)=0,0,D358/SUM($D$19:D$21)*100)</f>
        <v>0</v>
      </c>
      <c r="G358" s="782">
        <f t="shared" si="19"/>
        <v>0</v>
      </c>
    </row>
    <row r="359" spans="2:7" x14ac:dyDescent="0.2">
      <c r="B359" s="797"/>
      <c r="C359" s="801" t="s">
        <v>532</v>
      </c>
      <c r="D359" s="781">
        <v>30.776364000000001</v>
      </c>
      <c r="E359" s="799">
        <f t="shared" si="18"/>
        <v>1.5155409064346008</v>
      </c>
      <c r="F359" s="799">
        <f>IF(SUM($D$19:$D$21)=0,0,D359/SUM($D$19:D$21)*100)</f>
        <v>2.0991948755237591</v>
      </c>
      <c r="G359" s="782">
        <f t="shared" si="19"/>
        <v>12.569038022719955</v>
      </c>
    </row>
    <row r="360" spans="2:7" x14ac:dyDescent="0.2">
      <c r="B360" s="797"/>
      <c r="C360" s="801" t="s">
        <v>533</v>
      </c>
      <c r="D360" s="781">
        <v>0</v>
      </c>
      <c r="E360" s="799">
        <f t="shared" si="18"/>
        <v>0</v>
      </c>
      <c r="F360" s="799">
        <f>IF(SUM($D$19:$D$21)=0,0,D360/SUM($D$19:D$21)*100)</f>
        <v>0</v>
      </c>
      <c r="G360" s="782">
        <f t="shared" si="19"/>
        <v>0</v>
      </c>
    </row>
    <row r="361" spans="2:7" x14ac:dyDescent="0.2">
      <c r="B361" s="797"/>
      <c r="C361" s="801" t="s">
        <v>534</v>
      </c>
      <c r="D361" s="781">
        <v>42.039174000000003</v>
      </c>
      <c r="E361" s="799">
        <f t="shared" si="18"/>
        <v>2.0701629298939248</v>
      </c>
      <c r="F361" s="799">
        <f>IF(SUM($D$19:$D$21)=0,0,D361/SUM($D$19:D$21)*100)</f>
        <v>2.8674088541470217</v>
      </c>
      <c r="G361" s="782">
        <f t="shared" si="19"/>
        <v>17.168759001217303</v>
      </c>
    </row>
    <row r="362" spans="2:7" x14ac:dyDescent="0.2">
      <c r="B362" s="797"/>
      <c r="C362" s="801" t="s">
        <v>535</v>
      </c>
      <c r="D362" s="781">
        <v>3.048381</v>
      </c>
      <c r="E362" s="799">
        <f t="shared" si="18"/>
        <v>0.1501134475761339</v>
      </c>
      <c r="F362" s="799">
        <f>IF(SUM($D$19:$D$21)=0,0,D362/SUM($D$19:D$21)*100)</f>
        <v>0.20792403462098355</v>
      </c>
      <c r="G362" s="782">
        <f t="shared" si="19"/>
        <v>1.2449559245119755</v>
      </c>
    </row>
    <row r="363" spans="2:7" x14ac:dyDescent="0.2">
      <c r="B363" s="797"/>
      <c r="C363" s="801" t="s">
        <v>536</v>
      </c>
      <c r="D363" s="781">
        <v>10.831358</v>
      </c>
      <c r="E363" s="799">
        <f t="shared" si="18"/>
        <v>0.53337574644092667</v>
      </c>
      <c r="F363" s="799">
        <f>IF(SUM($D$19:$D$21)=0,0,D363/SUM($D$19:D$21)*100)</f>
        <v>0.73878549163777996</v>
      </c>
      <c r="G363" s="782">
        <f t="shared" si="19"/>
        <v>4.4235163887355888</v>
      </c>
    </row>
    <row r="364" spans="2:7" x14ac:dyDescent="0.2">
      <c r="B364" s="797"/>
      <c r="C364" s="801" t="s">
        <v>537</v>
      </c>
      <c r="D364" s="781">
        <v>2.2948499999999998</v>
      </c>
      <c r="E364" s="799">
        <f t="shared" si="18"/>
        <v>0.11300682072552311</v>
      </c>
      <c r="F364" s="799">
        <f>IF(SUM($D$19:$D$21)=0,0,D364/SUM($D$19:D$21)*100)</f>
        <v>0.15652717650778039</v>
      </c>
      <c r="G364" s="782">
        <f t="shared" si="19"/>
        <v>0.93721457500434058</v>
      </c>
    </row>
    <row r="365" spans="2:7" x14ac:dyDescent="0.2">
      <c r="B365" s="797"/>
      <c r="C365" s="801" t="s">
        <v>538</v>
      </c>
      <c r="D365" s="781">
        <v>6.7903380000000002</v>
      </c>
      <c r="E365" s="799">
        <f t="shared" si="18"/>
        <v>0.33438111816968746</v>
      </c>
      <c r="F365" s="799">
        <f>IF(SUM($D$19:$D$21)=0,0,D365/SUM($D$19:D$21)*100)</f>
        <v>0.46315551546876205</v>
      </c>
      <c r="G365" s="782">
        <f t="shared" si="19"/>
        <v>2.773167633094026</v>
      </c>
    </row>
    <row r="366" spans="2:7" x14ac:dyDescent="0.2">
      <c r="B366" s="797"/>
      <c r="C366" s="801" t="s">
        <v>539</v>
      </c>
      <c r="D366" s="781">
        <v>0</v>
      </c>
      <c r="E366" s="799">
        <f t="shared" si="18"/>
        <v>0</v>
      </c>
      <c r="F366" s="799">
        <f>IF(SUM($D$19:$D$21)=0,0,D366/SUM($D$19:D$21)*100)</f>
        <v>0</v>
      </c>
      <c r="G366" s="782">
        <f t="shared" si="19"/>
        <v>0</v>
      </c>
    </row>
    <row r="367" spans="2:7" x14ac:dyDescent="0.2">
      <c r="B367" s="797"/>
      <c r="C367" s="801" t="s">
        <v>540</v>
      </c>
      <c r="D367" s="781">
        <v>0</v>
      </c>
      <c r="E367" s="799">
        <f t="shared" si="18"/>
        <v>0</v>
      </c>
      <c r="F367" s="799">
        <f>IF(SUM($D$19:$D$21)=0,0,D367/SUM($D$19:D$21)*100)</f>
        <v>0</v>
      </c>
      <c r="G367" s="782">
        <f t="shared" si="19"/>
        <v>0</v>
      </c>
    </row>
    <row r="368" spans="2:7" x14ac:dyDescent="0.2">
      <c r="B368" s="797"/>
      <c r="C368" s="801" t="s">
        <v>541</v>
      </c>
      <c r="D368" s="781">
        <v>0</v>
      </c>
      <c r="E368" s="799">
        <f t="shared" si="18"/>
        <v>0</v>
      </c>
      <c r="F368" s="799">
        <f>IF(SUM($D$19:$D$21)=0,0,D368/SUM($D$19:D$21)*100)</f>
        <v>0</v>
      </c>
      <c r="G368" s="782">
        <f t="shared" si="19"/>
        <v>0</v>
      </c>
    </row>
    <row r="369" spans="2:7" x14ac:dyDescent="0.2">
      <c r="B369" s="797"/>
      <c r="C369" s="801" t="s">
        <v>542</v>
      </c>
      <c r="D369" s="781">
        <v>0</v>
      </c>
      <c r="E369" s="799">
        <f t="shared" si="18"/>
        <v>0</v>
      </c>
      <c r="F369" s="799">
        <f>IF(SUM($D$19:$D$21)=0,0,D369/SUM($D$19:D$21)*100)</f>
        <v>0</v>
      </c>
      <c r="G369" s="782">
        <f t="shared" si="19"/>
        <v>0</v>
      </c>
    </row>
    <row r="370" spans="2:7" x14ac:dyDescent="0.2">
      <c r="B370" s="797"/>
      <c r="C370" s="801" t="s">
        <v>543</v>
      </c>
      <c r="D370" s="781">
        <v>45.389476000000002</v>
      </c>
      <c r="E370" s="799">
        <f t="shared" si="18"/>
        <v>2.2351440735374575</v>
      </c>
      <c r="F370" s="799">
        <f>IF(SUM($D$19:$D$21)=0,0,D370/SUM($D$19:D$21)*100)</f>
        <v>3.0959263226126597</v>
      </c>
      <c r="G370" s="782">
        <f t="shared" si="19"/>
        <v>18.537019177292514</v>
      </c>
    </row>
    <row r="371" spans="2:7" x14ac:dyDescent="0.2">
      <c r="B371" s="797"/>
      <c r="C371" s="801" t="s">
        <v>544</v>
      </c>
      <c r="D371" s="781">
        <v>59.623542</v>
      </c>
      <c r="E371" s="799">
        <f t="shared" si="18"/>
        <v>2.9360816270408518</v>
      </c>
      <c r="F371" s="799">
        <f>IF(SUM($D$19:$D$21)=0,0,D371/SUM($D$19:D$21)*100)</f>
        <v>4.0668037922535492</v>
      </c>
      <c r="G371" s="782">
        <f t="shared" si="19"/>
        <v>24.350198303062708</v>
      </c>
    </row>
    <row r="372" spans="2:7" x14ac:dyDescent="0.2">
      <c r="B372" s="797"/>
      <c r="C372" s="801" t="s">
        <v>545</v>
      </c>
      <c r="D372" s="781">
        <v>5.3148339999999994</v>
      </c>
      <c r="E372" s="799">
        <f t="shared" si="18"/>
        <v>0.26172189599490814</v>
      </c>
      <c r="F372" s="799">
        <f>IF(SUM($D$19:$D$21)=0,0,D372/SUM($D$19:D$21)*100)</f>
        <v>0.36251430796241685</v>
      </c>
      <c r="G372" s="782">
        <f t="shared" si="19"/>
        <v>2.1705731915064685</v>
      </c>
    </row>
    <row r="373" spans="2:7" x14ac:dyDescent="0.2">
      <c r="B373" s="797"/>
      <c r="C373" s="801" t="s">
        <v>546</v>
      </c>
      <c r="D373" s="781">
        <v>7.5052359999999991</v>
      </c>
      <c r="E373" s="799">
        <f t="shared" si="18"/>
        <v>0.36958531457600369</v>
      </c>
      <c r="F373" s="799">
        <f>IF(SUM($D$19:$D$21)=0,0,D373/SUM($D$19:D$21)*100)</f>
        <v>0.51191729311482126</v>
      </c>
      <c r="G373" s="782">
        <f t="shared" si="19"/>
        <v>3.0651313018486075</v>
      </c>
    </row>
    <row r="374" spans="2:7" x14ac:dyDescent="0.2">
      <c r="B374" s="802"/>
      <c r="C374" s="803" t="s">
        <v>547</v>
      </c>
      <c r="D374" s="804">
        <v>2</v>
      </c>
      <c r="E374" s="805">
        <f t="shared" si="18"/>
        <v>9.8487326601323061E-2</v>
      </c>
      <c r="F374" s="805">
        <f>IF(SUM($D$19:$D$21)=0,0,D374/SUM($D$19:D$21)*100)</f>
        <v>0.13641604157812526</v>
      </c>
      <c r="G374" s="785">
        <f t="shared" si="19"/>
        <v>0.81679811317022089</v>
      </c>
    </row>
    <row r="375" spans="2:7" x14ac:dyDescent="0.2">
      <c r="D375" s="788"/>
      <c r="E375" s="789"/>
      <c r="F375" s="789"/>
      <c r="G375" s="789"/>
    </row>
    <row r="376" spans="2:7" x14ac:dyDescent="0.2">
      <c r="B376" s="794" t="s">
        <v>502</v>
      </c>
      <c r="C376" s="795" t="s">
        <v>517</v>
      </c>
      <c r="D376" s="779">
        <v>0</v>
      </c>
      <c r="E376" s="796">
        <f>IF($C$6=0,0,D376/$C$6*100)</f>
        <v>0</v>
      </c>
      <c r="F376" s="796">
        <f>IF(SUM($D$24:$D$26)=0,0,D376/SUM($D$24:D$26)*100)</f>
        <v>0</v>
      </c>
      <c r="G376" s="780">
        <f>IF($D$26=0,0,D376/$D$26*100)</f>
        <v>0</v>
      </c>
    </row>
    <row r="377" spans="2:7" x14ac:dyDescent="0.2">
      <c r="B377" s="797"/>
      <c r="C377" s="798" t="s">
        <v>987</v>
      </c>
      <c r="D377" s="781">
        <v>12.77191</v>
      </c>
      <c r="E377" s="799">
        <f t="shared" ref="E377:E407" si="20">IF($C$6=0,0,D377/$C$6*100)</f>
        <v>0.38477584987768154</v>
      </c>
      <c r="F377" s="799">
        <f>IF(SUM($D$24:$D$26)=0,0,D377/SUM($D$24:D$26)*100)</f>
        <v>0.69207784086465651</v>
      </c>
      <c r="G377" s="782">
        <f t="shared" ref="G377:G407" si="21">IF($D$26=0,0,D377/$D$26*100)</f>
        <v>6.6718668799178618</v>
      </c>
    </row>
    <row r="378" spans="2:7" x14ac:dyDescent="0.2">
      <c r="B378" s="797"/>
      <c r="C378" s="800" t="s">
        <v>518</v>
      </c>
      <c r="D378" s="781">
        <v>34.241352999999997</v>
      </c>
      <c r="E378" s="799">
        <f t="shared" si="20"/>
        <v>1.0315799047704455</v>
      </c>
      <c r="F378" s="799">
        <f>IF(SUM($D$24:$D$26)=0,0,D378/SUM($D$24:D$26)*100)</f>
        <v>1.8554532291978669</v>
      </c>
      <c r="G378" s="782">
        <f t="shared" si="21"/>
        <v>17.887203167284778</v>
      </c>
    </row>
    <row r="379" spans="2:7" x14ac:dyDescent="0.2">
      <c r="B379" s="797"/>
      <c r="C379" s="800" t="s">
        <v>519</v>
      </c>
      <c r="D379" s="781">
        <v>23.323488000000001</v>
      </c>
      <c r="E379" s="799">
        <f t="shared" si="20"/>
        <v>0.70266036303982005</v>
      </c>
      <c r="F379" s="799">
        <f>IF(SUM($D$24:$D$26)=0,0,D379/SUM($D$24:D$26)*100)</f>
        <v>1.2638414470876107</v>
      </c>
      <c r="G379" s="782">
        <f t="shared" si="21"/>
        <v>12.183863424606164</v>
      </c>
    </row>
    <row r="380" spans="2:7" x14ac:dyDescent="0.2">
      <c r="B380" s="797"/>
      <c r="C380" s="800" t="s">
        <v>520</v>
      </c>
      <c r="D380" s="781">
        <v>24.025196000000001</v>
      </c>
      <c r="E380" s="799">
        <f t="shared" si="20"/>
        <v>0.72380052861145083</v>
      </c>
      <c r="F380" s="799">
        <f>IF(SUM($D$24:$D$26)=0,0,D380/SUM($D$24:D$26)*100)</f>
        <v>1.3018652475651789</v>
      </c>
      <c r="G380" s="782">
        <f t="shared" si="21"/>
        <v>12.55042585454604</v>
      </c>
    </row>
    <row r="381" spans="2:7" x14ac:dyDescent="0.2">
      <c r="B381" s="797"/>
      <c r="C381" s="800" t="s">
        <v>521</v>
      </c>
      <c r="D381" s="781">
        <v>1</v>
      </c>
      <c r="E381" s="799">
        <f t="shared" si="20"/>
        <v>3.0126727316249605E-2</v>
      </c>
      <c r="F381" s="799">
        <f>IF(SUM($D$24:$D$26)=0,0,D381/SUM($D$24:D$26)*100)</f>
        <v>5.4187497474117538E-2</v>
      </c>
      <c r="G381" s="782">
        <f t="shared" si="21"/>
        <v>0.52238599237841976</v>
      </c>
    </row>
    <row r="382" spans="2:7" x14ac:dyDescent="0.2">
      <c r="B382" s="797"/>
      <c r="C382" s="800" t="s">
        <v>522</v>
      </c>
      <c r="D382" s="781">
        <v>19.612794000000001</v>
      </c>
      <c r="E382" s="799">
        <f t="shared" si="20"/>
        <v>0.59086929674777644</v>
      </c>
      <c r="F382" s="799">
        <f>IF(SUM($D$24:$D$26)=0,0,D382/SUM($D$24:D$26)*100)</f>
        <v>1.0627682253353876</v>
      </c>
      <c r="G382" s="782">
        <f t="shared" si="21"/>
        <v>10.245448857003517</v>
      </c>
    </row>
    <row r="383" spans="2:7" x14ac:dyDescent="0.2">
      <c r="B383" s="797"/>
      <c r="C383" s="800" t="s">
        <v>523</v>
      </c>
      <c r="D383" s="781">
        <v>0</v>
      </c>
      <c r="E383" s="799">
        <f t="shared" si="20"/>
        <v>0</v>
      </c>
      <c r="F383" s="799">
        <f>IF(SUM($D$24:$D$26)=0,0,D383/SUM($D$24:D$26)*100)</f>
        <v>0</v>
      </c>
      <c r="G383" s="782">
        <f t="shared" si="21"/>
        <v>0</v>
      </c>
    </row>
    <row r="384" spans="2:7" x14ac:dyDescent="0.2">
      <c r="B384" s="797"/>
      <c r="C384" s="800" t="s">
        <v>524</v>
      </c>
      <c r="D384" s="781">
        <v>15.392559</v>
      </c>
      <c r="E384" s="799">
        <f t="shared" si="20"/>
        <v>0.46372742769228381</v>
      </c>
      <c r="F384" s="799">
        <f>IF(SUM($D$24:$D$26)=0,0,D384/SUM($D$24:D$26)*100)</f>
        <v>0.83408425193270508</v>
      </c>
      <c r="G384" s="782">
        <f t="shared" si="21"/>
        <v>8.0408572084583767</v>
      </c>
    </row>
    <row r="385" spans="2:7" x14ac:dyDescent="0.2">
      <c r="B385" s="797"/>
      <c r="C385" s="800" t="s">
        <v>525</v>
      </c>
      <c r="D385" s="781">
        <v>18.680123000000002</v>
      </c>
      <c r="E385" s="799">
        <f t="shared" si="20"/>
        <v>0.56277097185500269</v>
      </c>
      <c r="F385" s="799">
        <f>IF(SUM($D$24:$D$26)=0,0,D385/SUM($D$24:D$26)*100)</f>
        <v>1.0122291178787051</v>
      </c>
      <c r="G385" s="782">
        <f t="shared" si="21"/>
        <v>9.7582345911059445</v>
      </c>
    </row>
    <row r="386" spans="2:7" x14ac:dyDescent="0.2">
      <c r="B386" s="797"/>
      <c r="C386" s="800" t="s">
        <v>526</v>
      </c>
      <c r="D386" s="781">
        <v>10.524462</v>
      </c>
      <c r="E386" s="799">
        <f t="shared" si="20"/>
        <v>0.31706759682423102</v>
      </c>
      <c r="F386" s="799">
        <f>IF(SUM($D$24:$D$26)=0,0,D386/SUM($D$24:D$26)*100)</f>
        <v>0.57029425804144607</v>
      </c>
      <c r="G386" s="782">
        <f t="shared" si="21"/>
        <v>5.4978315261189685</v>
      </c>
    </row>
    <row r="387" spans="2:7" x14ac:dyDescent="0.2">
      <c r="B387" s="797"/>
      <c r="C387" s="800" t="s">
        <v>527</v>
      </c>
      <c r="D387" s="781">
        <v>2.248802</v>
      </c>
      <c r="E387" s="799">
        <f t="shared" si="20"/>
        <v>6.7749044642236744E-2</v>
      </c>
      <c r="F387" s="799">
        <f>IF(SUM($D$24:$D$26)=0,0,D387/SUM($D$24:D$26)*100)</f>
        <v>0.12185695269479047</v>
      </c>
      <c r="G387" s="782">
        <f t="shared" si="21"/>
        <v>1.1747426644325751</v>
      </c>
    </row>
    <row r="388" spans="2:7" x14ac:dyDescent="0.2">
      <c r="B388" s="797"/>
      <c r="C388" s="801" t="s">
        <v>528</v>
      </c>
      <c r="D388" s="781">
        <v>0</v>
      </c>
      <c r="E388" s="799">
        <f t="shared" si="20"/>
        <v>0</v>
      </c>
      <c r="F388" s="799">
        <f>IF(SUM($D$24:$D$26)=0,0,D388/SUM($D$24:D$26)*100)</f>
        <v>0</v>
      </c>
      <c r="G388" s="782">
        <f t="shared" si="21"/>
        <v>0</v>
      </c>
    </row>
    <row r="389" spans="2:7" x14ac:dyDescent="0.2">
      <c r="B389" s="797"/>
      <c r="C389" s="801" t="s">
        <v>529</v>
      </c>
      <c r="D389" s="781">
        <v>0</v>
      </c>
      <c r="E389" s="799">
        <f t="shared" si="20"/>
        <v>0</v>
      </c>
      <c r="F389" s="799">
        <f>IF(SUM($D$24:$D$26)=0,0,D389/SUM($D$24:D$26)*100)</f>
        <v>0</v>
      </c>
      <c r="G389" s="782">
        <f t="shared" si="21"/>
        <v>0</v>
      </c>
    </row>
    <row r="390" spans="2:7" x14ac:dyDescent="0.2">
      <c r="B390" s="797"/>
      <c r="C390" s="801" t="s">
        <v>530</v>
      </c>
      <c r="D390" s="781">
        <v>0</v>
      </c>
      <c r="E390" s="799">
        <f t="shared" si="20"/>
        <v>0</v>
      </c>
      <c r="F390" s="799">
        <f>IF(SUM($D$24:$D$26)=0,0,D390/SUM($D$24:D$26)*100)</f>
        <v>0</v>
      </c>
      <c r="G390" s="782">
        <f t="shared" si="21"/>
        <v>0</v>
      </c>
    </row>
    <row r="391" spans="2:7" x14ac:dyDescent="0.2">
      <c r="B391" s="797"/>
      <c r="C391" s="801" t="s">
        <v>531</v>
      </c>
      <c r="D391" s="781">
        <v>0</v>
      </c>
      <c r="E391" s="799">
        <f t="shared" si="20"/>
        <v>0</v>
      </c>
      <c r="F391" s="799">
        <f>IF(SUM($D$24:$D$26)=0,0,D391/SUM($D$24:D$26)*100)</f>
        <v>0</v>
      </c>
      <c r="G391" s="782">
        <f t="shared" si="21"/>
        <v>0</v>
      </c>
    </row>
    <row r="392" spans="2:7" x14ac:dyDescent="0.2">
      <c r="B392" s="797"/>
      <c r="C392" s="801" t="s">
        <v>532</v>
      </c>
      <c r="D392" s="781">
        <v>49.328944000000007</v>
      </c>
      <c r="E392" s="799">
        <f t="shared" si="20"/>
        <v>1.4861196446865474</v>
      </c>
      <c r="F392" s="799">
        <f>IF(SUM($D$24:$D$26)=0,0,D392/SUM($D$24:D$26)*100)</f>
        <v>2.6730120284008856</v>
      </c>
      <c r="G392" s="782">
        <f t="shared" si="21"/>
        <v>25.768749364419495</v>
      </c>
    </row>
    <row r="393" spans="2:7" x14ac:dyDescent="0.2">
      <c r="B393" s="797"/>
      <c r="C393" s="801" t="s">
        <v>533</v>
      </c>
      <c r="D393" s="781">
        <v>2.9222229999999998</v>
      </c>
      <c r="E393" s="799">
        <f t="shared" si="20"/>
        <v>8.8037015478272876E-2</v>
      </c>
      <c r="F393" s="799">
        <f>IF(SUM($D$24:$D$26)=0,0,D393/SUM($D$24:D$26)*100)</f>
        <v>0.15834795143130814</v>
      </c>
      <c r="G393" s="782">
        <f t="shared" si="21"/>
        <v>1.5265283618060428</v>
      </c>
    </row>
    <row r="394" spans="2:7" x14ac:dyDescent="0.2">
      <c r="B394" s="797"/>
      <c r="C394" s="801" t="s">
        <v>534</v>
      </c>
      <c r="D394" s="781">
        <v>68.587685999999991</v>
      </c>
      <c r="E394" s="799">
        <f t="shared" si="20"/>
        <v>2.0663225133745504</v>
      </c>
      <c r="F394" s="799">
        <f>IF(SUM($D$24:$D$26)=0,0,D394/SUM($D$24:D$26)*100)</f>
        <v>3.7165950618805663</v>
      </c>
      <c r="G394" s="782">
        <f t="shared" si="21"/>
        <v>35.829246416049443</v>
      </c>
    </row>
    <row r="395" spans="2:7" x14ac:dyDescent="0.2">
      <c r="B395" s="797"/>
      <c r="C395" s="801" t="s">
        <v>535</v>
      </c>
      <c r="D395" s="781">
        <v>1.004402</v>
      </c>
      <c r="E395" s="799">
        <f t="shared" si="20"/>
        <v>3.025934516989574E-2</v>
      </c>
      <c r="F395" s="799">
        <f>IF(SUM($D$24:$D$26)=0,0,D395/SUM($D$24:D$26)*100)</f>
        <v>5.4426030837998601E-2</v>
      </c>
      <c r="G395" s="782">
        <f t="shared" si="21"/>
        <v>0.52468553551686958</v>
      </c>
    </row>
    <row r="396" spans="2:7" x14ac:dyDescent="0.2">
      <c r="B396" s="797"/>
      <c r="C396" s="801" t="s">
        <v>536</v>
      </c>
      <c r="D396" s="781">
        <v>2.6902180000000002</v>
      </c>
      <c r="E396" s="799">
        <f t="shared" si="20"/>
        <v>8.1047464107266404E-2</v>
      </c>
      <c r="F396" s="799">
        <f>IF(SUM($D$24:$D$26)=0,0,D396/SUM($D$24:D$26)*100)</f>
        <v>0.14577618107982554</v>
      </c>
      <c r="G396" s="782">
        <f t="shared" si="21"/>
        <v>1.4053321996442876</v>
      </c>
    </row>
    <row r="397" spans="2:7" x14ac:dyDescent="0.2">
      <c r="B397" s="797"/>
      <c r="C397" s="801" t="s">
        <v>537</v>
      </c>
      <c r="D397" s="781">
        <v>7.1497089999999996</v>
      </c>
      <c r="E397" s="799">
        <f t="shared" si="20"/>
        <v>0.21539733343353568</v>
      </c>
      <c r="F397" s="799">
        <f>IF(SUM($D$24:$D$26)=0,0,D397/SUM($D$24:D$26)*100)</f>
        <v>0.38742483837817543</v>
      </c>
      <c r="G397" s="782">
        <f t="shared" si="21"/>
        <v>3.734907831181919</v>
      </c>
    </row>
    <row r="398" spans="2:7" x14ac:dyDescent="0.2">
      <c r="B398" s="797"/>
      <c r="C398" s="801" t="s">
        <v>538</v>
      </c>
      <c r="D398" s="781">
        <v>26.855168999999997</v>
      </c>
      <c r="E398" s="799">
        <f t="shared" si="20"/>
        <v>0.8090583534947996</v>
      </c>
      <c r="F398" s="799">
        <f>IF(SUM($D$24:$D$26)=0,0,D398/SUM($D$24:D$26)*100)</f>
        <v>1.4552144023544993</v>
      </c>
      <c r="G398" s="782">
        <f t="shared" si="21"/>
        <v>14.028764108555173</v>
      </c>
    </row>
    <row r="399" spans="2:7" x14ac:dyDescent="0.2">
      <c r="B399" s="797"/>
      <c r="C399" s="801" t="s">
        <v>539</v>
      </c>
      <c r="D399" s="781">
        <v>1</v>
      </c>
      <c r="E399" s="799">
        <f t="shared" si="20"/>
        <v>3.0126727316249605E-2</v>
      </c>
      <c r="F399" s="799">
        <f>IF(SUM($D$24:$D$26)=0,0,D399/SUM($D$24:D$26)*100)</f>
        <v>5.4187497474117538E-2</v>
      </c>
      <c r="G399" s="782">
        <f t="shared" si="21"/>
        <v>0.52238599237841976</v>
      </c>
    </row>
    <row r="400" spans="2:7" x14ac:dyDescent="0.2">
      <c r="B400" s="797"/>
      <c r="C400" s="801" t="s">
        <v>540</v>
      </c>
      <c r="D400" s="781">
        <v>0</v>
      </c>
      <c r="E400" s="799">
        <f t="shared" si="20"/>
        <v>0</v>
      </c>
      <c r="F400" s="799">
        <f>IF(SUM($D$24:$D$26)=0,0,D400/SUM($D$24:D$26)*100)</f>
        <v>0</v>
      </c>
      <c r="G400" s="782">
        <f t="shared" si="21"/>
        <v>0</v>
      </c>
    </row>
    <row r="401" spans="2:7" x14ac:dyDescent="0.2">
      <c r="B401" s="797"/>
      <c r="C401" s="801" t="s">
        <v>541</v>
      </c>
      <c r="D401" s="781">
        <v>0</v>
      </c>
      <c r="E401" s="799">
        <f t="shared" si="20"/>
        <v>0</v>
      </c>
      <c r="F401" s="799">
        <f>IF(SUM($D$24:$D$26)=0,0,D401/SUM($D$24:D$26)*100)</f>
        <v>0</v>
      </c>
      <c r="G401" s="782">
        <f t="shared" si="21"/>
        <v>0</v>
      </c>
    </row>
    <row r="402" spans="2:7" x14ac:dyDescent="0.2">
      <c r="B402" s="797"/>
      <c r="C402" s="801" t="s">
        <v>542</v>
      </c>
      <c r="D402" s="781">
        <v>0</v>
      </c>
      <c r="E402" s="799">
        <f t="shared" si="20"/>
        <v>0</v>
      </c>
      <c r="F402" s="799">
        <f>IF(SUM($D$24:$D$26)=0,0,D402/SUM($D$24:D$26)*100)</f>
        <v>0</v>
      </c>
      <c r="G402" s="782">
        <f t="shared" si="21"/>
        <v>0</v>
      </c>
    </row>
    <row r="403" spans="2:7" x14ac:dyDescent="0.2">
      <c r="B403" s="797"/>
      <c r="C403" s="801" t="s">
        <v>543</v>
      </c>
      <c r="D403" s="781">
        <v>49.617675999999996</v>
      </c>
      <c r="E403" s="799">
        <f t="shared" si="20"/>
        <v>1.4948181949180226</v>
      </c>
      <c r="F403" s="799">
        <f>IF(SUM($D$24:$D$26)=0,0,D403/SUM($D$24:D$26)*100)</f>
        <v>2.688657692921582</v>
      </c>
      <c r="G403" s="782">
        <f t="shared" si="21"/>
        <v>25.919578916770895</v>
      </c>
    </row>
    <row r="404" spans="2:7" x14ac:dyDescent="0.2">
      <c r="B404" s="797"/>
      <c r="C404" s="801" t="s">
        <v>544</v>
      </c>
      <c r="D404" s="781">
        <v>95.537228999999996</v>
      </c>
      <c r="E404" s="799">
        <f t="shared" si="20"/>
        <v>2.8782240466330942</v>
      </c>
      <c r="F404" s="799">
        <f>IF(SUM($D$24:$D$26)=0,0,D404/SUM($D$24:D$26)*100)</f>
        <v>5.1769233551216889</v>
      </c>
      <c r="G404" s="782">
        <f t="shared" si="21"/>
        <v>49.90731018024934</v>
      </c>
    </row>
    <row r="405" spans="2:7" x14ac:dyDescent="0.2">
      <c r="B405" s="797"/>
      <c r="C405" s="801" t="s">
        <v>545</v>
      </c>
      <c r="D405" s="781">
        <v>10.349900000000002</v>
      </c>
      <c r="E405" s="799">
        <f t="shared" si="20"/>
        <v>0.31180861505045188</v>
      </c>
      <c r="F405" s="799">
        <f>IF(SUM($D$24:$D$26)=0,0,D405/SUM($D$24:D$26)*100)</f>
        <v>0.56083518010736921</v>
      </c>
      <c r="G405" s="782">
        <f t="shared" si="21"/>
        <v>5.4066427825174079</v>
      </c>
    </row>
    <row r="406" spans="2:7" x14ac:dyDescent="0.2">
      <c r="B406" s="797"/>
      <c r="C406" s="801" t="s">
        <v>546</v>
      </c>
      <c r="D406" s="781">
        <v>2.3454030000000001</v>
      </c>
      <c r="E406" s="799">
        <f t="shared" si="20"/>
        <v>7.0659316627713784E-2</v>
      </c>
      <c r="F406" s="799">
        <f>IF(SUM($D$24:$D$26)=0,0,D406/SUM($D$24:D$26)*100)</f>
        <v>0.1270915191382877</v>
      </c>
      <c r="G406" s="782">
        <f t="shared" si="21"/>
        <v>1.2252056736823229</v>
      </c>
    </row>
    <row r="407" spans="2:7" x14ac:dyDescent="0.2">
      <c r="B407" s="802"/>
      <c r="C407" s="803" t="s">
        <v>547</v>
      </c>
      <c r="D407" s="804">
        <v>0</v>
      </c>
      <c r="E407" s="805">
        <f t="shared" si="20"/>
        <v>0</v>
      </c>
      <c r="F407" s="805">
        <f>IF(SUM($D$24:$D$26)=0,0,D407/SUM($D$24:D$26)*100)</f>
        <v>0</v>
      </c>
      <c r="G407" s="785">
        <f t="shared" si="21"/>
        <v>0</v>
      </c>
    </row>
    <row r="408" spans="2:7" x14ac:dyDescent="0.2">
      <c r="D408" s="788"/>
      <c r="E408" s="789"/>
      <c r="F408" s="789"/>
      <c r="G408" s="789"/>
    </row>
    <row r="409" spans="2:7" x14ac:dyDescent="0.2">
      <c r="B409" s="794" t="s">
        <v>503</v>
      </c>
      <c r="C409" s="795" t="s">
        <v>517</v>
      </c>
      <c r="D409" s="779">
        <v>0</v>
      </c>
      <c r="E409" s="796">
        <f>IF($C$7=0,0,D409/$C$7*100)</f>
        <v>0</v>
      </c>
      <c r="F409" s="796">
        <f>IF(SUM($D$29:$D$31)=0,0,D409/SUM($D$29:D$31)*100)</f>
        <v>0</v>
      </c>
      <c r="G409" s="780">
        <f>IF($D$31=0,0,D409/$D$31*100)</f>
        <v>0</v>
      </c>
    </row>
    <row r="410" spans="2:7" x14ac:dyDescent="0.2">
      <c r="B410" s="797"/>
      <c r="C410" s="798" t="s">
        <v>987</v>
      </c>
      <c r="D410" s="781">
        <v>0</v>
      </c>
      <c r="E410" s="799">
        <f t="shared" ref="E410:E440" si="22">IF($C$7=0,0,D410/$C$7*100)</f>
        <v>0</v>
      </c>
      <c r="F410" s="799">
        <f>IF(SUM($D$29:$D$31)=0,0,D410/SUM($D$29:D$31)*100)</f>
        <v>0</v>
      </c>
      <c r="G410" s="782">
        <f t="shared" ref="G410:G440" si="23">IF($D$31=0,0,D410/$D$31*100)</f>
        <v>0</v>
      </c>
    </row>
    <row r="411" spans="2:7" x14ac:dyDescent="0.2">
      <c r="B411" s="797"/>
      <c r="C411" s="800" t="s">
        <v>518</v>
      </c>
      <c r="D411" s="781">
        <v>0</v>
      </c>
      <c r="E411" s="799">
        <f t="shared" si="22"/>
        <v>0</v>
      </c>
      <c r="F411" s="799">
        <f>IF(SUM($D$29:$D$31)=0,0,D411/SUM($D$29:D$31)*100)</f>
        <v>0</v>
      </c>
      <c r="G411" s="782">
        <f t="shared" si="23"/>
        <v>0</v>
      </c>
    </row>
    <row r="412" spans="2:7" x14ac:dyDescent="0.2">
      <c r="B412" s="797"/>
      <c r="C412" s="800" t="s">
        <v>519</v>
      </c>
      <c r="D412" s="781">
        <v>3.8263959999999999</v>
      </c>
      <c r="E412" s="799">
        <f t="shared" si="22"/>
        <v>3.9331424501091776E-2</v>
      </c>
      <c r="F412" s="799">
        <f>IF(SUM($D$29:$D$31)=0,0,D412/SUM($D$29:D$31)*100)</f>
        <v>0.13500760076227522</v>
      </c>
      <c r="G412" s="782">
        <f t="shared" si="23"/>
        <v>2.3023886416594408</v>
      </c>
    </row>
    <row r="413" spans="2:7" x14ac:dyDescent="0.2">
      <c r="B413" s="797"/>
      <c r="C413" s="800" t="s">
        <v>520</v>
      </c>
      <c r="D413" s="781">
        <v>84.760413</v>
      </c>
      <c r="E413" s="799">
        <f t="shared" si="22"/>
        <v>0.87125007045555614</v>
      </c>
      <c r="F413" s="799">
        <f>IF(SUM($D$29:$D$31)=0,0,D413/SUM($D$29:D$31)*100)</f>
        <v>2.9906209390636938</v>
      </c>
      <c r="G413" s="782">
        <f t="shared" si="23"/>
        <v>51.001363202753502</v>
      </c>
    </row>
    <row r="414" spans="2:7" x14ac:dyDescent="0.2">
      <c r="B414" s="797"/>
      <c r="C414" s="800" t="s">
        <v>521</v>
      </c>
      <c r="D414" s="781">
        <v>0</v>
      </c>
      <c r="E414" s="799">
        <f t="shared" si="22"/>
        <v>0</v>
      </c>
      <c r="F414" s="799">
        <f>IF(SUM($D$29:$D$31)=0,0,D414/SUM($D$29:D$31)*100)</f>
        <v>0</v>
      </c>
      <c r="G414" s="782">
        <f t="shared" si="23"/>
        <v>0</v>
      </c>
    </row>
    <row r="415" spans="2:7" x14ac:dyDescent="0.2">
      <c r="B415" s="797"/>
      <c r="C415" s="800" t="s">
        <v>522</v>
      </c>
      <c r="D415" s="781">
        <v>0</v>
      </c>
      <c r="E415" s="799">
        <f t="shared" si="22"/>
        <v>0</v>
      </c>
      <c r="F415" s="799">
        <f>IF(SUM($D$29:$D$31)=0,0,D415/SUM($D$29:D$31)*100)</f>
        <v>0</v>
      </c>
      <c r="G415" s="782">
        <f t="shared" si="23"/>
        <v>0</v>
      </c>
    </row>
    <row r="416" spans="2:7" x14ac:dyDescent="0.2">
      <c r="B416" s="797"/>
      <c r="C416" s="800" t="s">
        <v>523</v>
      </c>
      <c r="D416" s="781">
        <v>0</v>
      </c>
      <c r="E416" s="799">
        <f t="shared" si="22"/>
        <v>0</v>
      </c>
      <c r="F416" s="799">
        <f>IF(SUM($D$29:$D$31)=0,0,D416/SUM($D$29:D$31)*100)</f>
        <v>0</v>
      </c>
      <c r="G416" s="782">
        <f t="shared" si="23"/>
        <v>0</v>
      </c>
    </row>
    <row r="417" spans="2:7" x14ac:dyDescent="0.2">
      <c r="B417" s="797"/>
      <c r="C417" s="800" t="s">
        <v>524</v>
      </c>
      <c r="D417" s="781">
        <v>12.842393000000001</v>
      </c>
      <c r="E417" s="799">
        <f t="shared" si="22"/>
        <v>0.13200662207802058</v>
      </c>
      <c r="F417" s="799">
        <f>IF(SUM($D$29:$D$31)=0,0,D417/SUM($D$29:D$31)*100)</f>
        <v>0.45312107449836292</v>
      </c>
      <c r="G417" s="782">
        <f t="shared" si="23"/>
        <v>7.727422821612481</v>
      </c>
    </row>
    <row r="418" spans="2:7" x14ac:dyDescent="0.2">
      <c r="B418" s="797"/>
      <c r="C418" s="800" t="s">
        <v>525</v>
      </c>
      <c r="D418" s="781">
        <v>18.260122999999997</v>
      </c>
      <c r="E418" s="799">
        <f t="shared" si="22"/>
        <v>0.18769532718389559</v>
      </c>
      <c r="F418" s="799">
        <f>IF(SUM($D$29:$D$31)=0,0,D418/SUM($D$29:D$31)*100)</f>
        <v>0.64427607488980199</v>
      </c>
      <c r="G418" s="782">
        <f t="shared" si="23"/>
        <v>10.987336331760828</v>
      </c>
    </row>
    <row r="419" spans="2:7" x14ac:dyDescent="0.2">
      <c r="B419" s="797"/>
      <c r="C419" s="800" t="s">
        <v>526</v>
      </c>
      <c r="D419" s="781">
        <v>1.8887320000000001</v>
      </c>
      <c r="E419" s="799">
        <f t="shared" si="22"/>
        <v>1.9414226875837232E-2</v>
      </c>
      <c r="F419" s="799">
        <f>IF(SUM($D$29:$D$31)=0,0,D419/SUM($D$29:D$31)*100)</f>
        <v>6.664056093591296E-2</v>
      </c>
      <c r="G419" s="782">
        <f t="shared" si="23"/>
        <v>1.1364728334283016</v>
      </c>
    </row>
    <row r="420" spans="2:7" x14ac:dyDescent="0.2">
      <c r="B420" s="797"/>
      <c r="C420" s="800" t="s">
        <v>527</v>
      </c>
      <c r="D420" s="781">
        <v>0</v>
      </c>
      <c r="E420" s="799">
        <f t="shared" si="22"/>
        <v>0</v>
      </c>
      <c r="F420" s="799">
        <f>IF(SUM($D$29:$D$31)=0,0,D420/SUM($D$29:D$31)*100)</f>
        <v>0</v>
      </c>
      <c r="G420" s="782">
        <f t="shared" si="23"/>
        <v>0</v>
      </c>
    </row>
    <row r="421" spans="2:7" x14ac:dyDescent="0.2">
      <c r="B421" s="797"/>
      <c r="C421" s="801" t="s">
        <v>528</v>
      </c>
      <c r="D421" s="781">
        <v>3.6600429999999999</v>
      </c>
      <c r="E421" s="799">
        <f t="shared" si="22"/>
        <v>3.7621486360860046E-2</v>
      </c>
      <c r="F421" s="799">
        <f>IF(SUM($D$29:$D$31)=0,0,D421/SUM($D$29:D$31)*100)</f>
        <v>0.12913813000974286</v>
      </c>
      <c r="G421" s="782">
        <f t="shared" si="23"/>
        <v>2.2022920343804313</v>
      </c>
    </row>
    <row r="422" spans="2:7" x14ac:dyDescent="0.2">
      <c r="B422" s="797"/>
      <c r="C422" s="801" t="s">
        <v>529</v>
      </c>
      <c r="D422" s="781">
        <v>1</v>
      </c>
      <c r="E422" s="799">
        <f t="shared" si="22"/>
        <v>1.0278973870214106E-2</v>
      </c>
      <c r="F422" s="799">
        <f>IF(SUM($D$29:$D$31)=0,0,D422/SUM($D$29:D$31)*100)</f>
        <v>3.5283227549442138E-2</v>
      </c>
      <c r="G422" s="782">
        <f t="shared" si="23"/>
        <v>0.60171206578185865</v>
      </c>
    </row>
    <row r="423" spans="2:7" x14ac:dyDescent="0.2">
      <c r="B423" s="797"/>
      <c r="C423" s="801" t="s">
        <v>530</v>
      </c>
      <c r="D423" s="781">
        <v>0</v>
      </c>
      <c r="E423" s="799">
        <f t="shared" si="22"/>
        <v>0</v>
      </c>
      <c r="F423" s="799">
        <f>IF(SUM($D$29:$D$31)=0,0,D423/SUM($D$29:D$31)*100)</f>
        <v>0</v>
      </c>
      <c r="G423" s="782">
        <f t="shared" si="23"/>
        <v>0</v>
      </c>
    </row>
    <row r="424" spans="2:7" x14ac:dyDescent="0.2">
      <c r="B424" s="797"/>
      <c r="C424" s="801" t="s">
        <v>531</v>
      </c>
      <c r="D424" s="781">
        <v>0</v>
      </c>
      <c r="E424" s="799">
        <f t="shared" si="22"/>
        <v>0</v>
      </c>
      <c r="F424" s="799">
        <f>IF(SUM($D$29:$D$31)=0,0,D424/SUM($D$29:D$31)*100)</f>
        <v>0</v>
      </c>
      <c r="G424" s="782">
        <f t="shared" si="23"/>
        <v>0</v>
      </c>
    </row>
    <row r="425" spans="2:7" x14ac:dyDescent="0.2">
      <c r="B425" s="797"/>
      <c r="C425" s="801" t="s">
        <v>532</v>
      </c>
      <c r="D425" s="781">
        <v>135.49283600000001</v>
      </c>
      <c r="E425" s="799">
        <f t="shared" si="22"/>
        <v>1.3927273208452053</v>
      </c>
      <c r="F425" s="799">
        <f>IF(SUM($D$29:$D$31)=0,0,D425/SUM($D$29:D$31)*100)</f>
        <v>4.7806245639072467</v>
      </c>
      <c r="G425" s="782">
        <f t="shared" si="23"/>
        <v>81.527674248202587</v>
      </c>
    </row>
    <row r="426" spans="2:7" x14ac:dyDescent="0.2">
      <c r="B426" s="797"/>
      <c r="C426" s="801" t="s">
        <v>533</v>
      </c>
      <c r="D426" s="781">
        <v>0</v>
      </c>
      <c r="E426" s="799">
        <f t="shared" si="22"/>
        <v>0</v>
      </c>
      <c r="F426" s="799">
        <f>IF(SUM($D$29:$D$31)=0,0,D426/SUM($D$29:D$31)*100)</f>
        <v>0</v>
      </c>
      <c r="G426" s="782">
        <f t="shared" si="23"/>
        <v>0</v>
      </c>
    </row>
    <row r="427" spans="2:7" x14ac:dyDescent="0.2">
      <c r="B427" s="797"/>
      <c r="C427" s="801" t="s">
        <v>534</v>
      </c>
      <c r="D427" s="781">
        <v>25.501183000000001</v>
      </c>
      <c r="E427" s="799">
        <f t="shared" si="22"/>
        <v>0.26212599371654821</v>
      </c>
      <c r="F427" s="799">
        <f>IF(SUM($D$29:$D$31)=0,0,D427/SUM($D$29:D$31)*100)</f>
        <v>0.89976404256896569</v>
      </c>
      <c r="G427" s="782">
        <f t="shared" si="23"/>
        <v>15.344369502811217</v>
      </c>
    </row>
    <row r="428" spans="2:7" x14ac:dyDescent="0.2">
      <c r="B428" s="797"/>
      <c r="C428" s="801" t="s">
        <v>535</v>
      </c>
      <c r="D428" s="781">
        <v>1</v>
      </c>
      <c r="E428" s="799">
        <f t="shared" si="22"/>
        <v>1.0278973870214106E-2</v>
      </c>
      <c r="F428" s="799">
        <f>IF(SUM($D$29:$D$31)=0,0,D428/SUM($D$29:D$31)*100)</f>
        <v>3.5283227549442138E-2</v>
      </c>
      <c r="G428" s="782">
        <f t="shared" si="23"/>
        <v>0.60171206578185865</v>
      </c>
    </row>
    <row r="429" spans="2:7" x14ac:dyDescent="0.2">
      <c r="B429" s="797"/>
      <c r="C429" s="801" t="s">
        <v>536</v>
      </c>
      <c r="D429" s="781">
        <v>2</v>
      </c>
      <c r="E429" s="799">
        <f t="shared" si="22"/>
        <v>2.0557947740428212E-2</v>
      </c>
      <c r="F429" s="799">
        <f>IF(SUM($D$29:$D$31)=0,0,D429/SUM($D$29:D$31)*100)</f>
        <v>7.0566455098884276E-2</v>
      </c>
      <c r="G429" s="782">
        <f t="shared" si="23"/>
        <v>1.2034241315637173</v>
      </c>
    </row>
    <row r="430" spans="2:7" x14ac:dyDescent="0.2">
      <c r="B430" s="797"/>
      <c r="C430" s="801" t="s">
        <v>537</v>
      </c>
      <c r="D430" s="781">
        <v>0</v>
      </c>
      <c r="E430" s="799">
        <f t="shared" si="22"/>
        <v>0</v>
      </c>
      <c r="F430" s="799">
        <f>IF(SUM($D$29:$D$31)=0,0,D430/SUM($D$29:D$31)*100)</f>
        <v>0</v>
      </c>
      <c r="G430" s="782">
        <f t="shared" si="23"/>
        <v>0</v>
      </c>
    </row>
    <row r="431" spans="2:7" x14ac:dyDescent="0.2">
      <c r="B431" s="797"/>
      <c r="C431" s="801" t="s">
        <v>538</v>
      </c>
      <c r="D431" s="781">
        <v>14.551599</v>
      </c>
      <c r="E431" s="799">
        <f t="shared" si="22"/>
        <v>0.14957550589083371</v>
      </c>
      <c r="F431" s="799">
        <f>IF(SUM($D$29:$D$31)=0,0,D431/SUM($D$29:D$31)*100)</f>
        <v>0.5134273787252347</v>
      </c>
      <c r="G431" s="782">
        <f t="shared" si="23"/>
        <v>8.755872694719228</v>
      </c>
    </row>
    <row r="432" spans="2:7" x14ac:dyDescent="0.2">
      <c r="B432" s="797"/>
      <c r="C432" s="801" t="s">
        <v>539</v>
      </c>
      <c r="D432" s="781">
        <v>5.2935040000000004</v>
      </c>
      <c r="E432" s="799">
        <f t="shared" si="22"/>
        <v>5.441178929787386E-2</v>
      </c>
      <c r="F432" s="799">
        <f>IF(SUM($D$29:$D$31)=0,0,D432/SUM($D$29:D$31)*100)</f>
        <v>0.18677190616588221</v>
      </c>
      <c r="G432" s="782">
        <f t="shared" si="23"/>
        <v>3.1851652270645321</v>
      </c>
    </row>
    <row r="433" spans="2:7" x14ac:dyDescent="0.2">
      <c r="B433" s="797"/>
      <c r="C433" s="801" t="s">
        <v>540</v>
      </c>
      <c r="D433" s="781">
        <v>0</v>
      </c>
      <c r="E433" s="799">
        <f t="shared" si="22"/>
        <v>0</v>
      </c>
      <c r="F433" s="799">
        <f>IF(SUM($D$29:$D$31)=0,0,D433/SUM($D$29:D$31)*100)</f>
        <v>0</v>
      </c>
      <c r="G433" s="782">
        <f t="shared" si="23"/>
        <v>0</v>
      </c>
    </row>
    <row r="434" spans="2:7" x14ac:dyDescent="0.2">
      <c r="B434" s="797"/>
      <c r="C434" s="801" t="s">
        <v>541</v>
      </c>
      <c r="D434" s="781">
        <v>0</v>
      </c>
      <c r="E434" s="799">
        <f t="shared" si="22"/>
        <v>0</v>
      </c>
      <c r="F434" s="799">
        <f>IF(SUM($D$29:$D$31)=0,0,D434/SUM($D$29:D$31)*100)</f>
        <v>0</v>
      </c>
      <c r="G434" s="782">
        <f t="shared" si="23"/>
        <v>0</v>
      </c>
    </row>
    <row r="435" spans="2:7" x14ac:dyDescent="0.2">
      <c r="B435" s="797"/>
      <c r="C435" s="801" t="s">
        <v>542</v>
      </c>
      <c r="D435" s="781">
        <v>0</v>
      </c>
      <c r="E435" s="799">
        <f t="shared" si="22"/>
        <v>0</v>
      </c>
      <c r="F435" s="799">
        <f>IF(SUM($D$29:$D$31)=0,0,D435/SUM($D$29:D$31)*100)</f>
        <v>0</v>
      </c>
      <c r="G435" s="782">
        <f t="shared" si="23"/>
        <v>0</v>
      </c>
    </row>
    <row r="436" spans="2:7" x14ac:dyDescent="0.2">
      <c r="B436" s="797"/>
      <c r="C436" s="801" t="s">
        <v>543</v>
      </c>
      <c r="D436" s="781">
        <v>5.5661940000000003</v>
      </c>
      <c r="E436" s="799">
        <f t="shared" si="22"/>
        <v>5.7214762682542539E-2</v>
      </c>
      <c r="F436" s="799">
        <f>IF(SUM($D$29:$D$31)=0,0,D436/SUM($D$29:D$31)*100)</f>
        <v>0.19639328948633958</v>
      </c>
      <c r="G436" s="782">
        <f t="shared" si="23"/>
        <v>3.3492460902825871</v>
      </c>
    </row>
    <row r="437" spans="2:7" x14ac:dyDescent="0.2">
      <c r="B437" s="797"/>
      <c r="C437" s="801" t="s">
        <v>544</v>
      </c>
      <c r="D437" s="781">
        <v>1</v>
      </c>
      <c r="E437" s="799">
        <f t="shared" si="22"/>
        <v>1.0278973870214106E-2</v>
      </c>
      <c r="F437" s="799">
        <f>IF(SUM($D$29:$D$31)=0,0,D437/SUM($D$29:D$31)*100)</f>
        <v>3.5283227549442138E-2</v>
      </c>
      <c r="G437" s="782">
        <f t="shared" si="23"/>
        <v>0.60171206578185865</v>
      </c>
    </row>
    <row r="438" spans="2:7" x14ac:dyDescent="0.2">
      <c r="B438" s="797"/>
      <c r="C438" s="801" t="s">
        <v>545</v>
      </c>
      <c r="D438" s="781">
        <v>0</v>
      </c>
      <c r="E438" s="799">
        <f t="shared" si="22"/>
        <v>0</v>
      </c>
      <c r="F438" s="799">
        <f>IF(SUM($D$29:$D$31)=0,0,D438/SUM($D$29:D$31)*100)</f>
        <v>0</v>
      </c>
      <c r="G438" s="782">
        <f t="shared" si="23"/>
        <v>0</v>
      </c>
    </row>
    <row r="439" spans="2:7" x14ac:dyDescent="0.2">
      <c r="B439" s="797"/>
      <c r="C439" s="801" t="s">
        <v>546</v>
      </c>
      <c r="D439" s="781">
        <v>2.8973239999999998</v>
      </c>
      <c r="E439" s="799">
        <f t="shared" si="22"/>
        <v>2.9781517689544214E-2</v>
      </c>
      <c r="F439" s="799">
        <f>IF(SUM($D$29:$D$31)=0,0,D439/SUM($D$29:D$31)*100)</f>
        <v>0.1022269419764599</v>
      </c>
      <c r="G439" s="782">
        <f t="shared" si="23"/>
        <v>1.7433548092793576</v>
      </c>
    </row>
    <row r="440" spans="2:7" x14ac:dyDescent="0.2">
      <c r="B440" s="802"/>
      <c r="C440" s="803" t="s">
        <v>547</v>
      </c>
      <c r="D440" s="804">
        <v>0</v>
      </c>
      <c r="E440" s="805">
        <f t="shared" si="22"/>
        <v>0</v>
      </c>
      <c r="F440" s="805">
        <f>IF(SUM($D$29:$D$31)=0,0,D440/SUM($D$29:D$31)*100)</f>
        <v>0</v>
      </c>
      <c r="G440" s="785">
        <f t="shared" si="23"/>
        <v>0</v>
      </c>
    </row>
    <row r="441" spans="2:7" x14ac:dyDescent="0.2">
      <c r="D441" s="788"/>
      <c r="F441" s="786"/>
    </row>
    <row r="442" spans="2:7" x14ac:dyDescent="0.2">
      <c r="D442" s="788"/>
      <c r="F442" s="786"/>
    </row>
    <row r="443" spans="2:7" x14ac:dyDescent="0.2">
      <c r="B443" s="774" t="s">
        <v>550</v>
      </c>
      <c r="D443" s="788"/>
    </row>
    <row r="444" spans="2:7" x14ac:dyDescent="0.2">
      <c r="D444" s="788"/>
    </row>
    <row r="445" spans="2:7" ht="25.5" x14ac:dyDescent="0.2">
      <c r="B445" s="790"/>
      <c r="C445" s="791" t="s">
        <v>512</v>
      </c>
      <c r="D445" s="808" t="s">
        <v>513</v>
      </c>
      <c r="E445" s="793" t="s">
        <v>514</v>
      </c>
      <c r="F445" s="809"/>
    </row>
    <row r="446" spans="2:7" x14ac:dyDescent="0.2">
      <c r="B446" s="794" t="s">
        <v>501</v>
      </c>
      <c r="C446" s="795" t="s">
        <v>517</v>
      </c>
      <c r="D446" s="779">
        <v>0</v>
      </c>
      <c r="E446" s="780">
        <f>IF($C$4=0,0,D446/$C$4*100)</f>
        <v>0</v>
      </c>
      <c r="F446" s="810"/>
    </row>
    <row r="447" spans="2:7" x14ac:dyDescent="0.2">
      <c r="B447" s="797"/>
      <c r="C447" s="798" t="s">
        <v>987</v>
      </c>
      <c r="D447" s="781">
        <v>13.120025000000002</v>
      </c>
      <c r="E447" s="782">
        <f t="shared" ref="E447:E476" si="24">IF($C$4=0,0,D447/$C$4*100)</f>
        <v>0.1235391656152179</v>
      </c>
      <c r="F447" s="810"/>
    </row>
    <row r="448" spans="2:7" x14ac:dyDescent="0.2">
      <c r="B448" s="797"/>
      <c r="C448" s="800" t="s">
        <v>518</v>
      </c>
      <c r="D448" s="781">
        <v>88.098907999999994</v>
      </c>
      <c r="E448" s="782">
        <f t="shared" si="24"/>
        <v>0.82954610116458183</v>
      </c>
      <c r="F448" s="810"/>
    </row>
    <row r="449" spans="2:6" x14ac:dyDescent="0.2">
      <c r="B449" s="797"/>
      <c r="C449" s="800" t="s">
        <v>519</v>
      </c>
      <c r="D449" s="781">
        <v>300.33448800000002</v>
      </c>
      <c r="E449" s="782">
        <f t="shared" si="24"/>
        <v>2.8279726641522158</v>
      </c>
      <c r="F449" s="810"/>
    </row>
    <row r="450" spans="2:6" x14ac:dyDescent="0.2">
      <c r="B450" s="797"/>
      <c r="C450" s="800" t="s">
        <v>520</v>
      </c>
      <c r="D450" s="781">
        <v>1193.3221109999999</v>
      </c>
      <c r="E450" s="782">
        <f t="shared" si="24"/>
        <v>11.236412880549421</v>
      </c>
      <c r="F450" s="810"/>
    </row>
    <row r="451" spans="2:6" x14ac:dyDescent="0.2">
      <c r="B451" s="797"/>
      <c r="C451" s="800" t="s">
        <v>521</v>
      </c>
      <c r="D451" s="781">
        <v>0</v>
      </c>
      <c r="E451" s="782">
        <f t="shared" si="24"/>
        <v>0</v>
      </c>
      <c r="F451" s="810"/>
    </row>
    <row r="452" spans="2:6" x14ac:dyDescent="0.2">
      <c r="B452" s="797"/>
      <c r="C452" s="800" t="s">
        <v>522</v>
      </c>
      <c r="D452" s="781">
        <v>1295.601801</v>
      </c>
      <c r="E452" s="782">
        <f t="shared" si="24"/>
        <v>12.199486316917351</v>
      </c>
      <c r="F452" s="810"/>
    </row>
    <row r="453" spans="2:6" x14ac:dyDescent="0.2">
      <c r="B453" s="797"/>
      <c r="C453" s="800" t="s">
        <v>523</v>
      </c>
      <c r="D453" s="781">
        <v>1</v>
      </c>
      <c r="E453" s="782">
        <f t="shared" si="24"/>
        <v>9.416076997964401E-3</v>
      </c>
      <c r="F453" s="810"/>
    </row>
    <row r="454" spans="2:6" x14ac:dyDescent="0.2">
      <c r="B454" s="797"/>
      <c r="C454" s="800" t="s">
        <v>524</v>
      </c>
      <c r="D454" s="781">
        <v>389.28028100000006</v>
      </c>
      <c r="E454" s="782">
        <f t="shared" si="24"/>
        <v>3.6654930996852189</v>
      </c>
      <c r="F454" s="810"/>
    </row>
    <row r="455" spans="2:6" x14ac:dyDescent="0.2">
      <c r="B455" s="797"/>
      <c r="C455" s="800" t="s">
        <v>525</v>
      </c>
      <c r="D455" s="781">
        <v>606.75235099999986</v>
      </c>
      <c r="E455" s="782">
        <f t="shared" si="24"/>
        <v>5.7132268557119215</v>
      </c>
      <c r="F455" s="810"/>
    </row>
    <row r="456" spans="2:6" x14ac:dyDescent="0.2">
      <c r="B456" s="797"/>
      <c r="C456" s="800" t="s">
        <v>526</v>
      </c>
      <c r="D456" s="781">
        <v>587.58617200000003</v>
      </c>
      <c r="E456" s="782">
        <f t="shared" si="24"/>
        <v>5.5327566384911542</v>
      </c>
      <c r="F456" s="810"/>
    </row>
    <row r="457" spans="2:6" x14ac:dyDescent="0.2">
      <c r="B457" s="797"/>
      <c r="C457" s="800" t="s">
        <v>527</v>
      </c>
      <c r="D457" s="781">
        <v>0</v>
      </c>
      <c r="E457" s="782">
        <f t="shared" si="24"/>
        <v>0</v>
      </c>
      <c r="F457" s="810"/>
    </row>
    <row r="458" spans="2:6" x14ac:dyDescent="0.2">
      <c r="B458" s="797"/>
      <c r="C458" s="801" t="s">
        <v>528</v>
      </c>
      <c r="D458" s="781">
        <v>0</v>
      </c>
      <c r="E458" s="782">
        <f t="shared" si="24"/>
        <v>0</v>
      </c>
      <c r="F458" s="810"/>
    </row>
    <row r="459" spans="2:6" x14ac:dyDescent="0.2">
      <c r="B459" s="797"/>
      <c r="C459" s="801" t="s">
        <v>529</v>
      </c>
      <c r="D459" s="781">
        <v>1</v>
      </c>
      <c r="E459" s="782">
        <f t="shared" si="24"/>
        <v>9.416076997964401E-3</v>
      </c>
      <c r="F459" s="810"/>
    </row>
    <row r="460" spans="2:6" x14ac:dyDescent="0.2">
      <c r="B460" s="797"/>
      <c r="C460" s="801" t="s">
        <v>530</v>
      </c>
      <c r="D460" s="781">
        <v>0</v>
      </c>
      <c r="E460" s="782">
        <f t="shared" si="24"/>
        <v>0</v>
      </c>
      <c r="F460" s="810"/>
    </row>
    <row r="461" spans="2:6" x14ac:dyDescent="0.2">
      <c r="B461" s="797"/>
      <c r="C461" s="801" t="s">
        <v>531</v>
      </c>
      <c r="D461" s="781">
        <v>0</v>
      </c>
      <c r="E461" s="782">
        <f t="shared" si="24"/>
        <v>0</v>
      </c>
      <c r="F461" s="810"/>
    </row>
    <row r="462" spans="2:6" x14ac:dyDescent="0.2">
      <c r="B462" s="797"/>
      <c r="C462" s="801" t="s">
        <v>532</v>
      </c>
      <c r="D462" s="781">
        <v>865.52560600000004</v>
      </c>
      <c r="E462" s="782">
        <f t="shared" si="24"/>
        <v>8.1498557498058002</v>
      </c>
      <c r="F462" s="810"/>
    </row>
    <row r="463" spans="2:6" x14ac:dyDescent="0.2">
      <c r="B463" s="797"/>
      <c r="C463" s="801" t="s">
        <v>533</v>
      </c>
      <c r="D463" s="781">
        <v>0</v>
      </c>
      <c r="E463" s="782">
        <f t="shared" si="24"/>
        <v>0</v>
      </c>
      <c r="F463" s="810"/>
    </row>
    <row r="464" spans="2:6" x14ac:dyDescent="0.2">
      <c r="B464" s="797"/>
      <c r="C464" s="801" t="s">
        <v>534</v>
      </c>
      <c r="D464" s="781">
        <v>1424.3660580000001</v>
      </c>
      <c r="E464" s="782">
        <f t="shared" si="24"/>
        <v>13.41194047541503</v>
      </c>
      <c r="F464" s="810"/>
    </row>
    <row r="465" spans="2:6" x14ac:dyDescent="0.2">
      <c r="B465" s="797"/>
      <c r="C465" s="801" t="s">
        <v>535</v>
      </c>
      <c r="D465" s="781">
        <v>1.3830180000000001</v>
      </c>
      <c r="E465" s="782">
        <f t="shared" si="24"/>
        <v>1.302260397757073E-2</v>
      </c>
      <c r="F465" s="810"/>
    </row>
    <row r="466" spans="2:6" x14ac:dyDescent="0.2">
      <c r="B466" s="797"/>
      <c r="C466" s="801" t="s">
        <v>536</v>
      </c>
      <c r="D466" s="781">
        <v>25.514182000000002</v>
      </c>
      <c r="E466" s="782">
        <f t="shared" si="24"/>
        <v>0.24024350225207736</v>
      </c>
      <c r="F466" s="810"/>
    </row>
    <row r="467" spans="2:6" x14ac:dyDescent="0.2">
      <c r="B467" s="797"/>
      <c r="C467" s="801" t="s">
        <v>537</v>
      </c>
      <c r="D467" s="781">
        <v>87.052873999999989</v>
      </c>
      <c r="E467" s="782">
        <f t="shared" si="24"/>
        <v>0.81969656447809303</v>
      </c>
      <c r="F467" s="810"/>
    </row>
    <row r="468" spans="2:6" x14ac:dyDescent="0.2">
      <c r="B468" s="797"/>
      <c r="C468" s="801" t="s">
        <v>538</v>
      </c>
      <c r="D468" s="781">
        <v>536.26588600000002</v>
      </c>
      <c r="E468" s="782">
        <f t="shared" si="24"/>
        <v>5.0495208739575999</v>
      </c>
      <c r="F468" s="810"/>
    </row>
    <row r="469" spans="2:6" x14ac:dyDescent="0.2">
      <c r="B469" s="797"/>
      <c r="C469" s="801" t="s">
        <v>539</v>
      </c>
      <c r="D469" s="781">
        <v>0</v>
      </c>
      <c r="E469" s="782">
        <f t="shared" si="24"/>
        <v>0</v>
      </c>
      <c r="F469" s="810"/>
    </row>
    <row r="470" spans="2:6" x14ac:dyDescent="0.2">
      <c r="B470" s="797"/>
      <c r="C470" s="801" t="s">
        <v>540</v>
      </c>
      <c r="D470" s="781">
        <v>0</v>
      </c>
      <c r="E470" s="782">
        <f t="shared" si="24"/>
        <v>0</v>
      </c>
      <c r="F470" s="810"/>
    </row>
    <row r="471" spans="2:6" x14ac:dyDescent="0.2">
      <c r="B471" s="797"/>
      <c r="C471" s="801" t="s">
        <v>541</v>
      </c>
      <c r="D471" s="781">
        <v>3.1016570000000003</v>
      </c>
      <c r="E471" s="782">
        <f t="shared" si="24"/>
        <v>2.9205441133275271E-2</v>
      </c>
      <c r="F471" s="810"/>
    </row>
    <row r="472" spans="2:6" x14ac:dyDescent="0.2">
      <c r="B472" s="797"/>
      <c r="C472" s="801" t="s">
        <v>542</v>
      </c>
      <c r="D472" s="781">
        <v>0</v>
      </c>
      <c r="E472" s="782">
        <f t="shared" si="24"/>
        <v>0</v>
      </c>
      <c r="F472" s="810"/>
    </row>
    <row r="473" spans="2:6" x14ac:dyDescent="0.2">
      <c r="B473" s="797"/>
      <c r="C473" s="801" t="s">
        <v>543</v>
      </c>
      <c r="D473" s="781">
        <v>767.76709400000004</v>
      </c>
      <c r="E473" s="782">
        <f t="shared" si="24"/>
        <v>7.2293540736073716</v>
      </c>
      <c r="F473" s="810"/>
    </row>
    <row r="474" spans="2:6" x14ac:dyDescent="0.2">
      <c r="B474" s="797"/>
      <c r="C474" s="801" t="s">
        <v>544</v>
      </c>
      <c r="D474" s="781">
        <v>889.92173300000002</v>
      </c>
      <c r="E474" s="782">
        <f t="shared" si="24"/>
        <v>8.3795715600899179</v>
      </c>
      <c r="F474" s="810"/>
    </row>
    <row r="475" spans="2:6" x14ac:dyDescent="0.2">
      <c r="B475" s="797"/>
      <c r="C475" s="801" t="s">
        <v>545</v>
      </c>
      <c r="D475" s="781">
        <v>0</v>
      </c>
      <c r="E475" s="782">
        <f t="shared" si="24"/>
        <v>0</v>
      </c>
      <c r="F475" s="810"/>
    </row>
    <row r="476" spans="2:6" x14ac:dyDescent="0.2">
      <c r="B476" s="797"/>
      <c r="C476" s="801" t="s">
        <v>546</v>
      </c>
      <c r="D476" s="781">
        <v>29.437645</v>
      </c>
      <c r="E476" s="782">
        <f t="shared" si="24"/>
        <v>0.27718713195874178</v>
      </c>
      <c r="F476" s="810"/>
    </row>
    <row r="477" spans="2:6" x14ac:dyDescent="0.2">
      <c r="B477" s="802"/>
      <c r="C477" s="803" t="s">
        <v>547</v>
      </c>
      <c r="D477" s="804">
        <v>7.3796960000000009</v>
      </c>
      <c r="E477" s="785">
        <f>IF($C$4=0,0,D477/$C$4*100)</f>
        <v>6.9487785757569906E-2</v>
      </c>
      <c r="F477" s="810"/>
    </row>
    <row r="478" spans="2:6" x14ac:dyDescent="0.2">
      <c r="C478" s="771"/>
      <c r="D478" s="781"/>
      <c r="E478" s="811"/>
      <c r="F478" s="810"/>
    </row>
    <row r="479" spans="2:6" x14ac:dyDescent="0.2">
      <c r="B479" s="794" t="s">
        <v>20</v>
      </c>
      <c r="C479" s="795" t="s">
        <v>517</v>
      </c>
      <c r="D479" s="779">
        <v>0</v>
      </c>
      <c r="E479" s="780">
        <f>IF($C$5=0,0,D479/$C$5*100)</f>
        <v>0</v>
      </c>
      <c r="F479" s="810"/>
    </row>
    <row r="480" spans="2:6" x14ac:dyDescent="0.2">
      <c r="B480" s="797"/>
      <c r="C480" s="798" t="s">
        <v>987</v>
      </c>
      <c r="D480" s="781">
        <v>3</v>
      </c>
      <c r="E480" s="782">
        <f t="shared" ref="E480:E510" si="25">IF($C$5=0,0,D480/$C$5*100)</f>
        <v>0.14773098990198461</v>
      </c>
      <c r="F480" s="810"/>
    </row>
    <row r="481" spans="2:6" x14ac:dyDescent="0.2">
      <c r="B481" s="797"/>
      <c r="C481" s="800" t="s">
        <v>518</v>
      </c>
      <c r="D481" s="781">
        <v>106.83763499999999</v>
      </c>
      <c r="E481" s="782">
        <f t="shared" si="25"/>
        <v>5.2610765257789716</v>
      </c>
      <c r="F481" s="810"/>
    </row>
    <row r="482" spans="2:6" x14ac:dyDescent="0.2">
      <c r="B482" s="797"/>
      <c r="C482" s="800" t="s">
        <v>519</v>
      </c>
      <c r="D482" s="781">
        <v>137.65020200000001</v>
      </c>
      <c r="E482" s="782">
        <f t="shared" si="25"/>
        <v>6.7784002005560477</v>
      </c>
      <c r="F482" s="810"/>
    </row>
    <row r="483" spans="2:6" x14ac:dyDescent="0.2">
      <c r="B483" s="797"/>
      <c r="C483" s="800" t="s">
        <v>520</v>
      </c>
      <c r="D483" s="781">
        <v>234.57568899999998</v>
      </c>
      <c r="E483" s="782">
        <f t="shared" si="25"/>
        <v>11.551366247636691</v>
      </c>
      <c r="F483" s="810"/>
    </row>
    <row r="484" spans="2:6" x14ac:dyDescent="0.2">
      <c r="B484" s="797"/>
      <c r="C484" s="800" t="s">
        <v>521</v>
      </c>
      <c r="D484" s="781">
        <v>0</v>
      </c>
      <c r="E484" s="782">
        <f t="shared" si="25"/>
        <v>0</v>
      </c>
      <c r="F484" s="810"/>
    </row>
    <row r="485" spans="2:6" x14ac:dyDescent="0.2">
      <c r="B485" s="797"/>
      <c r="C485" s="800" t="s">
        <v>522</v>
      </c>
      <c r="D485" s="781">
        <v>10.941744</v>
      </c>
      <c r="E485" s="782">
        <f t="shared" si="25"/>
        <v>0.53881155745803355</v>
      </c>
      <c r="F485" s="810"/>
    </row>
    <row r="486" spans="2:6" x14ac:dyDescent="0.2">
      <c r="B486" s="797"/>
      <c r="C486" s="800" t="s">
        <v>523</v>
      </c>
      <c r="D486" s="781">
        <v>3</v>
      </c>
      <c r="E486" s="782">
        <f t="shared" si="25"/>
        <v>0.14773098990198461</v>
      </c>
      <c r="F486" s="810"/>
    </row>
    <row r="487" spans="2:6" x14ac:dyDescent="0.2">
      <c r="B487" s="797"/>
      <c r="C487" s="800" t="s">
        <v>524</v>
      </c>
      <c r="D487" s="781">
        <v>272.49344200000002</v>
      </c>
      <c r="E487" s="782">
        <f t="shared" si="25"/>
        <v>13.418575309486345</v>
      </c>
      <c r="F487" s="810"/>
    </row>
    <row r="488" spans="2:6" x14ac:dyDescent="0.2">
      <c r="B488" s="797"/>
      <c r="C488" s="800" t="s">
        <v>525</v>
      </c>
      <c r="D488" s="781">
        <v>69.23909900000001</v>
      </c>
      <c r="E488" s="782">
        <f t="shared" si="25"/>
        <v>3.4095868783971714</v>
      </c>
      <c r="F488" s="810"/>
    </row>
    <row r="489" spans="2:6" x14ac:dyDescent="0.2">
      <c r="B489" s="797"/>
      <c r="C489" s="800" t="s">
        <v>526</v>
      </c>
      <c r="D489" s="781">
        <v>4.5070069999999998</v>
      </c>
      <c r="E489" s="782">
        <f t="shared" si="25"/>
        <v>0.22194153520172463</v>
      </c>
      <c r="F489" s="810"/>
    </row>
    <row r="490" spans="2:6" x14ac:dyDescent="0.2">
      <c r="B490" s="797"/>
      <c r="C490" s="800" t="s">
        <v>527</v>
      </c>
      <c r="D490" s="781">
        <v>0</v>
      </c>
      <c r="E490" s="782">
        <f t="shared" si="25"/>
        <v>0</v>
      </c>
      <c r="F490" s="810"/>
    </row>
    <row r="491" spans="2:6" x14ac:dyDescent="0.2">
      <c r="B491" s="797"/>
      <c r="C491" s="801" t="s">
        <v>528</v>
      </c>
      <c r="D491" s="781">
        <v>0</v>
      </c>
      <c r="E491" s="782">
        <f t="shared" si="25"/>
        <v>0</v>
      </c>
      <c r="F491" s="810"/>
    </row>
    <row r="492" spans="2:6" x14ac:dyDescent="0.2">
      <c r="B492" s="797"/>
      <c r="C492" s="801" t="s">
        <v>529</v>
      </c>
      <c r="D492" s="781">
        <v>6.0065430000000006</v>
      </c>
      <c r="E492" s="782">
        <f t="shared" si="25"/>
        <v>0.29578418109294546</v>
      </c>
      <c r="F492" s="810"/>
    </row>
    <row r="493" spans="2:6" x14ac:dyDescent="0.2">
      <c r="B493" s="797"/>
      <c r="C493" s="801" t="s">
        <v>530</v>
      </c>
      <c r="D493" s="781">
        <v>0</v>
      </c>
      <c r="E493" s="782">
        <f t="shared" si="25"/>
        <v>0</v>
      </c>
      <c r="F493" s="810"/>
    </row>
    <row r="494" spans="2:6" x14ac:dyDescent="0.2">
      <c r="B494" s="797"/>
      <c r="C494" s="801" t="s">
        <v>531</v>
      </c>
      <c r="D494" s="781">
        <v>0</v>
      </c>
      <c r="E494" s="782">
        <f t="shared" si="25"/>
        <v>0</v>
      </c>
      <c r="F494" s="810"/>
    </row>
    <row r="495" spans="2:6" x14ac:dyDescent="0.2">
      <c r="B495" s="797"/>
      <c r="C495" s="801" t="s">
        <v>532</v>
      </c>
      <c r="D495" s="781">
        <v>228.70407899999998</v>
      </c>
      <c r="E495" s="782">
        <f t="shared" si="25"/>
        <v>11.262226661763895</v>
      </c>
      <c r="F495" s="810"/>
    </row>
    <row r="496" spans="2:6" x14ac:dyDescent="0.2">
      <c r="B496" s="797"/>
      <c r="C496" s="801" t="s">
        <v>533</v>
      </c>
      <c r="D496" s="781">
        <v>0</v>
      </c>
      <c r="E496" s="782">
        <f t="shared" si="25"/>
        <v>0</v>
      </c>
      <c r="F496" s="810"/>
    </row>
    <row r="497" spans="2:6" x14ac:dyDescent="0.2">
      <c r="B497" s="797"/>
      <c r="C497" s="801" t="s">
        <v>534</v>
      </c>
      <c r="D497" s="781">
        <v>385.28051400000004</v>
      </c>
      <c r="E497" s="782">
        <f t="shared" si="25"/>
        <v>18.972623907721815</v>
      </c>
      <c r="F497" s="810"/>
    </row>
    <row r="498" spans="2:6" x14ac:dyDescent="0.2">
      <c r="B498" s="797"/>
      <c r="C498" s="801" t="s">
        <v>535</v>
      </c>
      <c r="D498" s="781">
        <v>31.742410999999997</v>
      </c>
      <c r="E498" s="782">
        <f t="shared" si="25"/>
        <v>1.5631125996352149</v>
      </c>
      <c r="F498" s="810"/>
    </row>
    <row r="499" spans="2:6" x14ac:dyDescent="0.2">
      <c r="B499" s="797"/>
      <c r="C499" s="801" t="s">
        <v>536</v>
      </c>
      <c r="D499" s="781">
        <v>103.763193</v>
      </c>
      <c r="E499" s="782">
        <f t="shared" si="25"/>
        <v>5.1096797390935595</v>
      </c>
      <c r="F499" s="810"/>
    </row>
    <row r="500" spans="2:6" x14ac:dyDescent="0.2">
      <c r="B500" s="797"/>
      <c r="C500" s="801" t="s">
        <v>537</v>
      </c>
      <c r="D500" s="781">
        <v>3.2948499999999998</v>
      </c>
      <c r="E500" s="782">
        <f t="shared" si="25"/>
        <v>0.16225048402618464</v>
      </c>
      <c r="F500" s="810"/>
    </row>
    <row r="501" spans="2:6" x14ac:dyDescent="0.2">
      <c r="B501" s="797"/>
      <c r="C501" s="801" t="s">
        <v>538</v>
      </c>
      <c r="D501" s="781">
        <v>29.189215000000001</v>
      </c>
      <c r="E501" s="782">
        <f t="shared" si="25"/>
        <v>1.4373838754706192</v>
      </c>
      <c r="F501" s="810"/>
    </row>
    <row r="502" spans="2:6" x14ac:dyDescent="0.2">
      <c r="B502" s="797"/>
      <c r="C502" s="801" t="s">
        <v>539</v>
      </c>
      <c r="D502" s="781">
        <v>0</v>
      </c>
      <c r="E502" s="782">
        <f t="shared" si="25"/>
        <v>0</v>
      </c>
      <c r="F502" s="810"/>
    </row>
    <row r="503" spans="2:6" x14ac:dyDescent="0.2">
      <c r="B503" s="797"/>
      <c r="C503" s="801" t="s">
        <v>540</v>
      </c>
      <c r="D503" s="781">
        <v>1.0567800000000001</v>
      </c>
      <c r="E503" s="782">
        <f t="shared" si="25"/>
        <v>5.2039718502873096E-2</v>
      </c>
      <c r="F503" s="810"/>
    </row>
    <row r="504" spans="2:6" x14ac:dyDescent="0.2">
      <c r="B504" s="797"/>
      <c r="C504" s="801" t="s">
        <v>541</v>
      </c>
      <c r="D504" s="781">
        <v>13.150454</v>
      </c>
      <c r="E504" s="782">
        <f t="shared" si="25"/>
        <v>0.64757652902683771</v>
      </c>
      <c r="F504" s="810"/>
    </row>
    <row r="505" spans="2:6" x14ac:dyDescent="0.2">
      <c r="B505" s="797"/>
      <c r="C505" s="801" t="s">
        <v>542</v>
      </c>
      <c r="D505" s="781">
        <v>0</v>
      </c>
      <c r="E505" s="782">
        <f t="shared" si="25"/>
        <v>0</v>
      </c>
      <c r="F505" s="810"/>
    </row>
    <row r="506" spans="2:6" x14ac:dyDescent="0.2">
      <c r="B506" s="797"/>
      <c r="C506" s="801" t="s">
        <v>543</v>
      </c>
      <c r="D506" s="781">
        <v>413.30137100000002</v>
      </c>
      <c r="E506" s="782">
        <f t="shared" si="25"/>
        <v>20.352473555225796</v>
      </c>
      <c r="F506" s="810"/>
    </row>
    <row r="507" spans="2:6" x14ac:dyDescent="0.2">
      <c r="B507" s="797"/>
      <c r="C507" s="801" t="s">
        <v>544</v>
      </c>
      <c r="D507" s="781">
        <v>333.39388699999995</v>
      </c>
      <c r="E507" s="782">
        <f t="shared" si="25"/>
        <v>16.417536317926796</v>
      </c>
      <c r="F507" s="810"/>
    </row>
    <row r="508" spans="2:6" x14ac:dyDescent="0.2">
      <c r="B508" s="797"/>
      <c r="C508" s="801" t="s">
        <v>545</v>
      </c>
      <c r="D508" s="781">
        <v>0</v>
      </c>
      <c r="E508" s="782">
        <f t="shared" si="25"/>
        <v>0</v>
      </c>
      <c r="F508" s="810"/>
    </row>
    <row r="509" spans="2:6" x14ac:dyDescent="0.2">
      <c r="B509" s="797"/>
      <c r="C509" s="801" t="s">
        <v>546</v>
      </c>
      <c r="D509" s="781">
        <v>8.9917429999999996</v>
      </c>
      <c r="E509" s="782">
        <f t="shared" si="25"/>
        <v>0.4427863647780802</v>
      </c>
      <c r="F509" s="810"/>
    </row>
    <row r="510" spans="2:6" x14ac:dyDescent="0.2">
      <c r="B510" s="802"/>
      <c r="C510" s="803" t="s">
        <v>547</v>
      </c>
      <c r="D510" s="804">
        <v>2</v>
      </c>
      <c r="E510" s="785">
        <f t="shared" si="25"/>
        <v>9.8487326601323061E-2</v>
      </c>
      <c r="F510" s="810"/>
    </row>
    <row r="511" spans="2:6" ht="12" customHeight="1" x14ac:dyDescent="0.2"/>
    <row r="512" spans="2:6" ht="12" customHeight="1" x14ac:dyDescent="0.2">
      <c r="B512" s="794" t="s">
        <v>502</v>
      </c>
      <c r="C512" s="795" t="s">
        <v>517</v>
      </c>
      <c r="D512" s="779">
        <v>0</v>
      </c>
      <c r="E512" s="780">
        <f>IF($C$6=0,0,D512/$C$6*100)</f>
        <v>0</v>
      </c>
    </row>
    <row r="513" spans="2:5" ht="12" customHeight="1" x14ac:dyDescent="0.2">
      <c r="B513" s="797"/>
      <c r="C513" s="798" t="s">
        <v>987</v>
      </c>
      <c r="D513" s="781">
        <v>14.786490000000001</v>
      </c>
      <c r="E513" s="782">
        <f t="shared" ref="E513:E543" si="26">IF($C$6=0,0,D513/$C$6*100)</f>
        <v>0.44546855219445169</v>
      </c>
    </row>
    <row r="514" spans="2:5" ht="12" customHeight="1" x14ac:dyDescent="0.2">
      <c r="B514" s="797"/>
      <c r="C514" s="800" t="s">
        <v>518</v>
      </c>
      <c r="D514" s="781">
        <v>106.76538200000002</v>
      </c>
      <c r="E514" s="782">
        <f t="shared" si="26"/>
        <v>3.2164915503292248</v>
      </c>
    </row>
    <row r="515" spans="2:5" ht="12" customHeight="1" x14ac:dyDescent="0.2">
      <c r="B515" s="797"/>
      <c r="C515" s="800" t="s">
        <v>519</v>
      </c>
      <c r="D515" s="781">
        <v>59.679935999999998</v>
      </c>
      <c r="E515" s="782">
        <f t="shared" si="26"/>
        <v>1.7979611581232284</v>
      </c>
    </row>
    <row r="516" spans="2:5" ht="12" customHeight="1" x14ac:dyDescent="0.2">
      <c r="B516" s="797"/>
      <c r="C516" s="800" t="s">
        <v>520</v>
      </c>
      <c r="D516" s="781">
        <v>272.58526499999999</v>
      </c>
      <c r="E516" s="782">
        <f t="shared" si="26"/>
        <v>8.2121019490826388</v>
      </c>
    </row>
    <row r="517" spans="2:5" ht="12" customHeight="1" x14ac:dyDescent="0.2">
      <c r="B517" s="797"/>
      <c r="C517" s="800" t="s">
        <v>521</v>
      </c>
      <c r="D517" s="781">
        <v>0</v>
      </c>
      <c r="E517" s="782">
        <f t="shared" si="26"/>
        <v>0</v>
      </c>
    </row>
    <row r="518" spans="2:5" ht="12" customHeight="1" x14ac:dyDescent="0.2">
      <c r="B518" s="797"/>
      <c r="C518" s="800" t="s">
        <v>522</v>
      </c>
      <c r="D518" s="781">
        <v>135.36490000000001</v>
      </c>
      <c r="E518" s="782">
        <f t="shared" si="26"/>
        <v>4.0781014304913965</v>
      </c>
    </row>
    <row r="519" spans="2:5" ht="12" customHeight="1" x14ac:dyDescent="0.2">
      <c r="B519" s="797"/>
      <c r="C519" s="800" t="s">
        <v>523</v>
      </c>
      <c r="D519" s="781">
        <v>0</v>
      </c>
      <c r="E519" s="782">
        <f t="shared" si="26"/>
        <v>0</v>
      </c>
    </row>
    <row r="520" spans="2:5" ht="12" customHeight="1" x14ac:dyDescent="0.2">
      <c r="B520" s="797"/>
      <c r="C520" s="800" t="s">
        <v>524</v>
      </c>
      <c r="D520" s="781">
        <v>151.212649</v>
      </c>
      <c r="E520" s="782">
        <f t="shared" si="26"/>
        <v>4.5555422431907644</v>
      </c>
    </row>
    <row r="521" spans="2:5" ht="12" customHeight="1" x14ac:dyDescent="0.2">
      <c r="B521" s="797"/>
      <c r="C521" s="800" t="s">
        <v>525</v>
      </c>
      <c r="D521" s="781">
        <v>152.19298900000001</v>
      </c>
      <c r="E521" s="782">
        <f t="shared" si="26"/>
        <v>4.5850766790479769</v>
      </c>
    </row>
    <row r="522" spans="2:5" ht="12" customHeight="1" x14ac:dyDescent="0.2">
      <c r="B522" s="797"/>
      <c r="C522" s="800" t="s">
        <v>526</v>
      </c>
      <c r="D522" s="781">
        <v>59.51869099999999</v>
      </c>
      <c r="E522" s="782">
        <f t="shared" si="26"/>
        <v>1.7931033739771194</v>
      </c>
    </row>
    <row r="523" spans="2:5" ht="12" customHeight="1" x14ac:dyDescent="0.2">
      <c r="B523" s="797"/>
      <c r="C523" s="800" t="s">
        <v>527</v>
      </c>
      <c r="D523" s="781">
        <v>0</v>
      </c>
      <c r="E523" s="782">
        <f t="shared" si="26"/>
        <v>0</v>
      </c>
    </row>
    <row r="524" spans="2:5" ht="12" customHeight="1" x14ac:dyDescent="0.2">
      <c r="B524" s="797"/>
      <c r="C524" s="801" t="s">
        <v>528</v>
      </c>
      <c r="D524" s="781">
        <v>0</v>
      </c>
      <c r="E524" s="782">
        <f t="shared" si="26"/>
        <v>0</v>
      </c>
    </row>
    <row r="525" spans="2:5" ht="12" customHeight="1" x14ac:dyDescent="0.2">
      <c r="B525" s="797"/>
      <c r="C525" s="801" t="s">
        <v>529</v>
      </c>
      <c r="D525" s="781">
        <v>3.017433</v>
      </c>
      <c r="E525" s="782">
        <f t="shared" si="26"/>
        <v>9.0905381186053014E-2</v>
      </c>
    </row>
    <row r="526" spans="2:5" ht="12" customHeight="1" x14ac:dyDescent="0.2">
      <c r="B526" s="797"/>
      <c r="C526" s="801" t="s">
        <v>530</v>
      </c>
      <c r="D526" s="781">
        <v>0</v>
      </c>
      <c r="E526" s="782">
        <f t="shared" si="26"/>
        <v>0</v>
      </c>
    </row>
    <row r="527" spans="2:5" ht="12" customHeight="1" x14ac:dyDescent="0.2">
      <c r="B527" s="797"/>
      <c r="C527" s="801" t="s">
        <v>531</v>
      </c>
      <c r="D527" s="781">
        <v>0</v>
      </c>
      <c r="E527" s="782">
        <f t="shared" si="26"/>
        <v>0</v>
      </c>
    </row>
    <row r="528" spans="2:5" ht="12" customHeight="1" x14ac:dyDescent="0.2">
      <c r="B528" s="797"/>
      <c r="C528" s="801" t="s">
        <v>532</v>
      </c>
      <c r="D528" s="781">
        <v>118.504921</v>
      </c>
      <c r="E528" s="782">
        <f t="shared" si="26"/>
        <v>3.570165440600702</v>
      </c>
    </row>
    <row r="529" spans="2:5" ht="12" customHeight="1" x14ac:dyDescent="0.2">
      <c r="B529" s="797"/>
      <c r="C529" s="801" t="s">
        <v>533</v>
      </c>
      <c r="D529" s="781">
        <v>0</v>
      </c>
      <c r="E529" s="782">
        <f t="shared" si="26"/>
        <v>0</v>
      </c>
    </row>
    <row r="530" spans="2:5" ht="12" customHeight="1" x14ac:dyDescent="0.2">
      <c r="B530" s="797"/>
      <c r="C530" s="801" t="s">
        <v>534</v>
      </c>
      <c r="D530" s="781">
        <v>466.22218499999997</v>
      </c>
      <c r="E530" s="782">
        <f t="shared" si="26"/>
        <v>14.045748636281077</v>
      </c>
    </row>
    <row r="531" spans="2:5" ht="12" customHeight="1" x14ac:dyDescent="0.2">
      <c r="B531" s="797"/>
      <c r="C531" s="801" t="s">
        <v>535</v>
      </c>
      <c r="D531" s="781">
        <v>7.7513649999999998</v>
      </c>
      <c r="E531" s="782">
        <f t="shared" si="26"/>
        <v>0.23352325968372117</v>
      </c>
    </row>
    <row r="532" spans="2:5" ht="12" customHeight="1" x14ac:dyDescent="0.2">
      <c r="B532" s="797"/>
      <c r="C532" s="801" t="s">
        <v>536</v>
      </c>
      <c r="D532" s="781">
        <v>26.400504999999999</v>
      </c>
      <c r="E532" s="782">
        <f t="shared" si="26"/>
        <v>0.79536081514628432</v>
      </c>
    </row>
    <row r="533" spans="2:5" ht="12" customHeight="1" x14ac:dyDescent="0.2">
      <c r="B533" s="797"/>
      <c r="C533" s="801" t="s">
        <v>537</v>
      </c>
      <c r="D533" s="781">
        <v>13.31255</v>
      </c>
      <c r="E533" s="782">
        <f t="shared" si="26"/>
        <v>0.4010635637339387</v>
      </c>
    </row>
    <row r="534" spans="2:5" ht="12" customHeight="1" x14ac:dyDescent="0.2">
      <c r="B534" s="797"/>
      <c r="C534" s="801" t="s">
        <v>538</v>
      </c>
      <c r="D534" s="781">
        <v>81.360434999999995</v>
      </c>
      <c r="E534" s="782">
        <f t="shared" si="26"/>
        <v>2.4511236395764509</v>
      </c>
    </row>
    <row r="535" spans="2:5" ht="12" customHeight="1" x14ac:dyDescent="0.2">
      <c r="B535" s="797"/>
      <c r="C535" s="801" t="s">
        <v>539</v>
      </c>
      <c r="D535" s="781">
        <v>0</v>
      </c>
      <c r="E535" s="782">
        <f t="shared" si="26"/>
        <v>0</v>
      </c>
    </row>
    <row r="536" spans="2:5" ht="12" customHeight="1" x14ac:dyDescent="0.2">
      <c r="B536" s="797"/>
      <c r="C536" s="801" t="s">
        <v>540</v>
      </c>
      <c r="D536" s="781">
        <v>0</v>
      </c>
      <c r="E536" s="782">
        <f t="shared" si="26"/>
        <v>0</v>
      </c>
    </row>
    <row r="537" spans="2:5" ht="12" customHeight="1" x14ac:dyDescent="0.2">
      <c r="B537" s="797"/>
      <c r="C537" s="801" t="s">
        <v>541</v>
      </c>
      <c r="D537" s="781">
        <v>4.065798</v>
      </c>
      <c r="E537" s="782">
        <f t="shared" si="26"/>
        <v>0.12248918766895303</v>
      </c>
    </row>
    <row r="538" spans="2:5" ht="12" customHeight="1" x14ac:dyDescent="0.2">
      <c r="B538" s="797"/>
      <c r="C538" s="801" t="s">
        <v>542</v>
      </c>
      <c r="D538" s="781">
        <v>0</v>
      </c>
      <c r="E538" s="782">
        <f t="shared" si="26"/>
        <v>0</v>
      </c>
    </row>
    <row r="539" spans="2:5" ht="12" customHeight="1" x14ac:dyDescent="0.2">
      <c r="B539" s="797"/>
      <c r="C539" s="801" t="s">
        <v>543</v>
      </c>
      <c r="D539" s="781">
        <v>574.86395900000002</v>
      </c>
      <c r="E539" s="782">
        <f t="shared" si="26"/>
        <v>17.318769736732694</v>
      </c>
    </row>
    <row r="540" spans="2:5" x14ac:dyDescent="0.2">
      <c r="B540" s="797"/>
      <c r="C540" s="801" t="s">
        <v>544</v>
      </c>
      <c r="D540" s="781">
        <v>549.24622599999998</v>
      </c>
      <c r="E540" s="782">
        <f t="shared" si="26"/>
        <v>16.546991280181206</v>
      </c>
    </row>
    <row r="541" spans="2:5" x14ac:dyDescent="0.2">
      <c r="B541" s="797"/>
      <c r="C541" s="801" t="s">
        <v>545</v>
      </c>
      <c r="D541" s="781">
        <v>0</v>
      </c>
      <c r="E541" s="782">
        <f t="shared" si="26"/>
        <v>0</v>
      </c>
    </row>
    <row r="542" spans="2:5" x14ac:dyDescent="0.2">
      <c r="B542" s="797"/>
      <c r="C542" s="801" t="s">
        <v>546</v>
      </c>
      <c r="D542" s="781">
        <v>11.145883999999999</v>
      </c>
      <c r="E542" s="782">
        <f t="shared" si="26"/>
        <v>0.33578900796654942</v>
      </c>
    </row>
    <row r="543" spans="2:5" x14ac:dyDescent="0.2">
      <c r="B543" s="802"/>
      <c r="C543" s="803" t="s">
        <v>547</v>
      </c>
      <c r="D543" s="804">
        <v>0</v>
      </c>
      <c r="E543" s="785">
        <f t="shared" si="26"/>
        <v>0</v>
      </c>
    </row>
    <row r="545" spans="2:5" x14ac:dyDescent="0.2">
      <c r="B545" s="794" t="s">
        <v>503</v>
      </c>
      <c r="C545" s="795" t="s">
        <v>517</v>
      </c>
      <c r="D545" s="779">
        <v>0</v>
      </c>
      <c r="E545" s="780">
        <f>IF($C$7=0,0,D545/$C$7*100)</f>
        <v>0</v>
      </c>
    </row>
    <row r="546" spans="2:5" x14ac:dyDescent="0.2">
      <c r="B546" s="797"/>
      <c r="C546" s="798" t="s">
        <v>987</v>
      </c>
      <c r="D546" s="781">
        <v>4.1966890000000001</v>
      </c>
      <c r="E546" s="782">
        <f t="shared" ref="E546:E576" si="27">IF($C$7=0,0,D546/$C$7*100)</f>
        <v>4.3137656572414966E-2</v>
      </c>
    </row>
    <row r="547" spans="2:5" x14ac:dyDescent="0.2">
      <c r="B547" s="797"/>
      <c r="C547" s="800" t="s">
        <v>518</v>
      </c>
      <c r="D547" s="781">
        <v>1.224486</v>
      </c>
      <c r="E547" s="782">
        <f t="shared" si="27"/>
        <v>1.2586459598442991E-2</v>
      </c>
    </row>
    <row r="548" spans="2:5" x14ac:dyDescent="0.2">
      <c r="B548" s="797"/>
      <c r="C548" s="800" t="s">
        <v>519</v>
      </c>
      <c r="D548" s="781">
        <v>204.85919600000003</v>
      </c>
      <c r="E548" s="782">
        <f t="shared" si="27"/>
        <v>2.1057423227570702</v>
      </c>
    </row>
    <row r="549" spans="2:5" x14ac:dyDescent="0.2">
      <c r="B549" s="797"/>
      <c r="C549" s="800" t="s">
        <v>520</v>
      </c>
      <c r="D549" s="781">
        <v>872.35009500000012</v>
      </c>
      <c r="E549" s="782">
        <f t="shared" si="27"/>
        <v>8.9668638321837939</v>
      </c>
    </row>
    <row r="550" spans="2:5" x14ac:dyDescent="0.2">
      <c r="B550" s="797"/>
      <c r="C550" s="800" t="s">
        <v>521</v>
      </c>
      <c r="D550" s="781">
        <v>0</v>
      </c>
      <c r="E550" s="782">
        <f t="shared" si="27"/>
        <v>0</v>
      </c>
    </row>
    <row r="551" spans="2:5" x14ac:dyDescent="0.2">
      <c r="B551" s="797"/>
      <c r="C551" s="800" t="s">
        <v>522</v>
      </c>
      <c r="D551" s="781">
        <v>4.8711649999999995</v>
      </c>
      <c r="E551" s="782">
        <f t="shared" si="27"/>
        <v>5.007057775250149E-2</v>
      </c>
    </row>
    <row r="552" spans="2:5" x14ac:dyDescent="0.2">
      <c r="B552" s="797"/>
      <c r="C552" s="800" t="s">
        <v>523</v>
      </c>
      <c r="D552" s="781">
        <v>2.007835</v>
      </c>
      <c r="E552" s="782">
        <f t="shared" si="27"/>
        <v>2.0638483500701341E-2</v>
      </c>
    </row>
    <row r="553" spans="2:5" x14ac:dyDescent="0.2">
      <c r="B553" s="797"/>
      <c r="C553" s="800" t="s">
        <v>524</v>
      </c>
      <c r="D553" s="781">
        <v>109.38693599999999</v>
      </c>
      <c r="E553" s="782">
        <f t="shared" si="27"/>
        <v>1.1243854568867828</v>
      </c>
    </row>
    <row r="554" spans="2:5" x14ac:dyDescent="0.2">
      <c r="B554" s="797"/>
      <c r="C554" s="800" t="s">
        <v>525</v>
      </c>
      <c r="D554" s="781">
        <v>356.27061200000003</v>
      </c>
      <c r="E554" s="782">
        <f t="shared" si="27"/>
        <v>3.6620963114731881</v>
      </c>
    </row>
    <row r="555" spans="2:5" x14ac:dyDescent="0.2">
      <c r="B555" s="797"/>
      <c r="C555" s="800" t="s">
        <v>526</v>
      </c>
      <c r="D555" s="781">
        <v>64.569167000000007</v>
      </c>
      <c r="E555" s="782">
        <f t="shared" si="27"/>
        <v>0.6637047804144911</v>
      </c>
    </row>
    <row r="556" spans="2:5" x14ac:dyDescent="0.2">
      <c r="B556" s="797"/>
      <c r="C556" s="800" t="s">
        <v>527</v>
      </c>
      <c r="D556" s="781">
        <v>0</v>
      </c>
      <c r="E556" s="782">
        <f t="shared" si="27"/>
        <v>0</v>
      </c>
    </row>
    <row r="557" spans="2:5" x14ac:dyDescent="0.2">
      <c r="B557" s="797"/>
      <c r="C557" s="801" t="s">
        <v>528</v>
      </c>
      <c r="D557" s="781">
        <v>0</v>
      </c>
      <c r="E557" s="782">
        <f t="shared" si="27"/>
        <v>0</v>
      </c>
    </row>
    <row r="558" spans="2:5" x14ac:dyDescent="0.2">
      <c r="B558" s="797"/>
      <c r="C558" s="801" t="s">
        <v>529</v>
      </c>
      <c r="D558" s="781">
        <v>1</v>
      </c>
      <c r="E558" s="782">
        <f t="shared" si="27"/>
        <v>1.0278973870214106E-2</v>
      </c>
    </row>
    <row r="559" spans="2:5" x14ac:dyDescent="0.2">
      <c r="B559" s="797"/>
      <c r="C559" s="801" t="s">
        <v>530</v>
      </c>
      <c r="D559" s="781">
        <v>0</v>
      </c>
      <c r="E559" s="782">
        <f t="shared" si="27"/>
        <v>0</v>
      </c>
    </row>
    <row r="560" spans="2:5" x14ac:dyDescent="0.2">
      <c r="B560" s="797"/>
      <c r="C560" s="801" t="s">
        <v>531</v>
      </c>
      <c r="D560" s="781">
        <v>0</v>
      </c>
      <c r="E560" s="782">
        <f t="shared" si="27"/>
        <v>0</v>
      </c>
    </row>
    <row r="561" spans="2:5" x14ac:dyDescent="0.2">
      <c r="B561" s="797"/>
      <c r="C561" s="801" t="s">
        <v>532</v>
      </c>
      <c r="D561" s="781">
        <v>1353.2752449999998</v>
      </c>
      <c r="E561" s="782">
        <f t="shared" si="27"/>
        <v>13.910280882562592</v>
      </c>
    </row>
    <row r="562" spans="2:5" x14ac:dyDescent="0.2">
      <c r="B562" s="797"/>
      <c r="C562" s="801" t="s">
        <v>533</v>
      </c>
      <c r="D562" s="781">
        <v>0</v>
      </c>
      <c r="E562" s="782">
        <f t="shared" si="27"/>
        <v>0</v>
      </c>
    </row>
    <row r="563" spans="2:5" x14ac:dyDescent="0.2">
      <c r="B563" s="797"/>
      <c r="C563" s="801" t="s">
        <v>534</v>
      </c>
      <c r="D563" s="781">
        <v>66.648423000000008</v>
      </c>
      <c r="E563" s="782">
        <f t="shared" si="27"/>
        <v>0.685077398507977</v>
      </c>
    </row>
    <row r="564" spans="2:5" x14ac:dyDescent="0.2">
      <c r="B564" s="797"/>
      <c r="C564" s="801" t="s">
        <v>535</v>
      </c>
      <c r="D564" s="781">
        <v>3.8969190000000005</v>
      </c>
      <c r="E564" s="782">
        <f t="shared" si="27"/>
        <v>4.0056328575340888E-2</v>
      </c>
    </row>
    <row r="565" spans="2:5" x14ac:dyDescent="0.2">
      <c r="B565" s="797"/>
      <c r="C565" s="801" t="s">
        <v>536</v>
      </c>
      <c r="D565" s="781">
        <v>33.640158999999997</v>
      </c>
      <c r="E565" s="782">
        <f t="shared" si="27"/>
        <v>0.34578631535084786</v>
      </c>
    </row>
    <row r="566" spans="2:5" x14ac:dyDescent="0.2">
      <c r="B566" s="797"/>
      <c r="C566" s="801" t="s">
        <v>537</v>
      </c>
      <c r="D566" s="781">
        <v>2.8134410000000001</v>
      </c>
      <c r="E566" s="782">
        <f t="shared" si="27"/>
        <v>2.8919286524389045E-2</v>
      </c>
    </row>
    <row r="567" spans="2:5" x14ac:dyDescent="0.2">
      <c r="B567" s="797"/>
      <c r="C567" s="801" t="s">
        <v>538</v>
      </c>
      <c r="D567" s="781">
        <v>46.314221999999994</v>
      </c>
      <c r="E567" s="782">
        <f t="shared" si="27"/>
        <v>0.47606267775729527</v>
      </c>
    </row>
    <row r="568" spans="2:5" x14ac:dyDescent="0.2">
      <c r="B568" s="797"/>
      <c r="C568" s="801" t="s">
        <v>539</v>
      </c>
      <c r="D568" s="781">
        <v>0</v>
      </c>
      <c r="E568" s="782">
        <f t="shared" si="27"/>
        <v>0</v>
      </c>
    </row>
    <row r="569" spans="2:5" x14ac:dyDescent="0.2">
      <c r="B569" s="797"/>
      <c r="C569" s="801" t="s">
        <v>540</v>
      </c>
      <c r="D569" s="781">
        <v>0</v>
      </c>
      <c r="E569" s="782">
        <f t="shared" si="27"/>
        <v>0</v>
      </c>
    </row>
    <row r="570" spans="2:5" x14ac:dyDescent="0.2">
      <c r="B570" s="797"/>
      <c r="C570" s="801" t="s">
        <v>541</v>
      </c>
      <c r="D570" s="781">
        <v>0</v>
      </c>
      <c r="E570" s="782">
        <f t="shared" si="27"/>
        <v>0</v>
      </c>
    </row>
    <row r="571" spans="2:5" x14ac:dyDescent="0.2">
      <c r="B571" s="797"/>
      <c r="C571" s="801" t="s">
        <v>542</v>
      </c>
      <c r="D571" s="781">
        <v>0</v>
      </c>
      <c r="E571" s="782">
        <f t="shared" si="27"/>
        <v>0</v>
      </c>
    </row>
    <row r="572" spans="2:5" x14ac:dyDescent="0.2">
      <c r="B572" s="797"/>
      <c r="C572" s="801" t="s">
        <v>543</v>
      </c>
      <c r="D572" s="781">
        <v>15.697280000000001</v>
      </c>
      <c r="E572" s="782">
        <f t="shared" si="27"/>
        <v>0.16135193095343447</v>
      </c>
    </row>
    <row r="573" spans="2:5" x14ac:dyDescent="0.2">
      <c r="B573" s="797"/>
      <c r="C573" s="801" t="s">
        <v>544</v>
      </c>
      <c r="D573" s="781">
        <v>7.8162229999999999</v>
      </c>
      <c r="E573" s="782">
        <f t="shared" si="27"/>
        <v>8.0342751980766514E-2</v>
      </c>
    </row>
    <row r="574" spans="2:5" x14ac:dyDescent="0.2">
      <c r="B574" s="797"/>
      <c r="C574" s="801" t="s">
        <v>545</v>
      </c>
      <c r="D574" s="781">
        <v>0</v>
      </c>
      <c r="E574" s="782">
        <f t="shared" si="27"/>
        <v>0</v>
      </c>
    </row>
    <row r="575" spans="2:5" x14ac:dyDescent="0.2">
      <c r="B575" s="797"/>
      <c r="C575" s="801" t="s">
        <v>546</v>
      </c>
      <c r="D575" s="781">
        <v>15.98368</v>
      </c>
      <c r="E575" s="782">
        <f t="shared" si="27"/>
        <v>0.16429582906986381</v>
      </c>
    </row>
    <row r="576" spans="2:5" x14ac:dyDescent="0.2">
      <c r="B576" s="802"/>
      <c r="C576" s="803" t="s">
        <v>547</v>
      </c>
      <c r="D576" s="804">
        <v>0</v>
      </c>
      <c r="E576" s="785">
        <f t="shared" si="27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3:F95"/>
  <sheetViews>
    <sheetView zoomScaleNormal="100" workbookViewId="0"/>
  </sheetViews>
  <sheetFormatPr defaultRowHeight="12.75" x14ac:dyDescent="0.2"/>
  <cols>
    <col min="1" max="1" width="9" style="369"/>
    <col min="2" max="2" width="26.875" style="369" customWidth="1"/>
    <col min="3" max="3" width="22" style="369" bestFit="1" customWidth="1"/>
    <col min="4" max="4" width="34.125" style="369" bestFit="1" customWidth="1"/>
    <col min="5" max="5" width="27.375" style="369" bestFit="1" customWidth="1"/>
    <col min="6" max="6" width="38.75" style="369" bestFit="1" customWidth="1"/>
    <col min="7" max="16384" width="9" style="369"/>
  </cols>
  <sheetData>
    <row r="3" spans="2:5" x14ac:dyDescent="0.2">
      <c r="B3" s="359" t="s">
        <v>500</v>
      </c>
      <c r="C3" s="544">
        <f>SUM(C4:C7)</f>
        <v>24586.920800000004</v>
      </c>
    </row>
    <row r="4" spans="2:5" x14ac:dyDescent="0.2">
      <c r="B4" s="359" t="s">
        <v>501</v>
      </c>
      <c r="C4" s="360">
        <v>10620.134056000003</v>
      </c>
    </row>
    <row r="5" spans="2:5" x14ac:dyDescent="0.2">
      <c r="B5" s="359" t="s">
        <v>20</v>
      </c>
      <c r="C5" s="360">
        <v>2030.7181329999999</v>
      </c>
    </row>
    <row r="6" spans="2:5" x14ac:dyDescent="0.2">
      <c r="B6" s="359" t="s">
        <v>502</v>
      </c>
      <c r="C6" s="360">
        <v>3033.0003219999999</v>
      </c>
    </row>
    <row r="7" spans="2:5" x14ac:dyDescent="0.2">
      <c r="B7" s="359" t="s">
        <v>503</v>
      </c>
      <c r="C7" s="360">
        <v>8903.0682890000007</v>
      </c>
    </row>
    <row r="8" spans="2:5" x14ac:dyDescent="0.2">
      <c r="B8" s="359"/>
      <c r="C8" s="359"/>
    </row>
    <row r="9" spans="2:5" x14ac:dyDescent="0.2">
      <c r="B9" s="359"/>
      <c r="C9" s="359"/>
    </row>
    <row r="10" spans="2:5" x14ac:dyDescent="0.2">
      <c r="B10" s="359" t="s">
        <v>551</v>
      </c>
    </row>
    <row r="11" spans="2:5" x14ac:dyDescent="0.2">
      <c r="C11" s="359"/>
    </row>
    <row r="12" spans="2:5" x14ac:dyDescent="0.2">
      <c r="B12" s="362"/>
      <c r="C12" s="370" t="s">
        <v>552</v>
      </c>
      <c r="D12" s="370" t="s">
        <v>553</v>
      </c>
      <c r="E12" s="370" t="s">
        <v>554</v>
      </c>
    </row>
    <row r="13" spans="2:5" x14ac:dyDescent="0.2">
      <c r="B13" s="363" t="s">
        <v>501</v>
      </c>
      <c r="C13" s="812" t="s">
        <v>555</v>
      </c>
      <c r="D13" s="813">
        <v>9039.9989370000003</v>
      </c>
      <c r="E13" s="545">
        <f>IF(C$4=0,0,D13/C$4*100)</f>
        <v>85.121326052308333</v>
      </c>
    </row>
    <row r="14" spans="2:5" x14ac:dyDescent="0.2">
      <c r="B14" s="364"/>
      <c r="C14" s="814" t="s">
        <v>556</v>
      </c>
      <c r="D14" s="813">
        <v>812.36802499999999</v>
      </c>
      <c r="E14" s="546">
        <f>IF(C$4=0,0,D14/C$4*100)</f>
        <v>7.6493198740842692</v>
      </c>
    </row>
    <row r="15" spans="2:5" x14ac:dyDescent="0.2">
      <c r="B15" s="364"/>
      <c r="C15" s="814" t="s">
        <v>557</v>
      </c>
      <c r="D15" s="813">
        <v>767.76709400000004</v>
      </c>
      <c r="E15" s="546">
        <f>IF(C$4=0,0,D15/C$4*100)</f>
        <v>7.2293540736073716</v>
      </c>
    </row>
    <row r="16" spans="2:5" x14ac:dyDescent="0.2">
      <c r="B16" s="365"/>
      <c r="C16" s="815" t="s">
        <v>558</v>
      </c>
      <c r="D16" s="816">
        <f>D15+D14</f>
        <v>1580.135119</v>
      </c>
      <c r="E16" s="547">
        <f>IF(C$4=0,0,D16/C$4*100)</f>
        <v>14.878673947691642</v>
      </c>
    </row>
    <row r="17" spans="2:5" x14ac:dyDescent="0.2">
      <c r="B17" s="366"/>
      <c r="C17" s="814"/>
      <c r="D17" s="817"/>
      <c r="E17" s="372"/>
    </row>
    <row r="18" spans="2:5" x14ac:dyDescent="0.2">
      <c r="B18" s="363" t="s">
        <v>20</v>
      </c>
      <c r="C18" s="812" t="s">
        <v>555</v>
      </c>
      <c r="D18" s="371">
        <v>1287.1831440000003</v>
      </c>
      <c r="E18" s="545">
        <f>IF(C$5=0,0,D18/C$5*100)</f>
        <v>63.38561334942294</v>
      </c>
    </row>
    <row r="19" spans="2:5" x14ac:dyDescent="0.2">
      <c r="B19" s="364"/>
      <c r="C19" s="814" t="s">
        <v>556</v>
      </c>
      <c r="D19" s="813">
        <v>307.71180900000002</v>
      </c>
      <c r="E19" s="546">
        <f>IF(C$5=0,0,D19/C$5*100)</f>
        <v>15.152856716033472</v>
      </c>
    </row>
    <row r="20" spans="2:5" x14ac:dyDescent="0.2">
      <c r="B20" s="364"/>
      <c r="C20" s="814" t="s">
        <v>557</v>
      </c>
      <c r="D20" s="813">
        <v>413.30137100000002</v>
      </c>
      <c r="E20" s="546">
        <f>IF(C$5=0,0,D20/C$5*100)</f>
        <v>20.352473555225796</v>
      </c>
    </row>
    <row r="21" spans="2:5" x14ac:dyDescent="0.2">
      <c r="B21" s="365"/>
      <c r="C21" s="815" t="s">
        <v>558</v>
      </c>
      <c r="D21" s="816">
        <f>D20+D19</f>
        <v>721.01318000000003</v>
      </c>
      <c r="E21" s="547">
        <f>IF(C$5=0,0,D21/C$5*100)</f>
        <v>35.505330271259275</v>
      </c>
    </row>
    <row r="22" spans="2:5" x14ac:dyDescent="0.2">
      <c r="B22" s="366"/>
      <c r="C22" s="814"/>
      <c r="D22" s="817"/>
      <c r="E22" s="372"/>
    </row>
    <row r="23" spans="2:5" x14ac:dyDescent="0.2">
      <c r="B23" s="363" t="s">
        <v>502</v>
      </c>
      <c r="C23" s="812" t="s">
        <v>555</v>
      </c>
      <c r="D23" s="371">
        <v>2049.6023259999997</v>
      </c>
      <c r="E23" s="545">
        <f>IF(C$6=0,0,D23/C$6*100)</f>
        <v>67.576726290898165</v>
      </c>
    </row>
    <row r="24" spans="2:5" x14ac:dyDescent="0.2">
      <c r="B24" s="364"/>
      <c r="C24" s="814" t="s">
        <v>556</v>
      </c>
      <c r="D24" s="813">
        <v>451.04812300000003</v>
      </c>
      <c r="E24" s="546">
        <f>IF(C$6=0,0,D24/C$6*100)</f>
        <v>14.871350976401249</v>
      </c>
    </row>
    <row r="25" spans="2:5" x14ac:dyDescent="0.2">
      <c r="B25" s="364"/>
      <c r="C25" s="814" t="s">
        <v>557</v>
      </c>
      <c r="D25" s="813">
        <v>532.34987300000012</v>
      </c>
      <c r="E25" s="546">
        <f>IF(C$6=0,0,D25/C$6*100)</f>
        <v>17.551922732700593</v>
      </c>
    </row>
    <row r="26" spans="2:5" x14ac:dyDescent="0.2">
      <c r="B26" s="365"/>
      <c r="C26" s="815" t="s">
        <v>558</v>
      </c>
      <c r="D26" s="816">
        <f>D25+D24</f>
        <v>983.39799600000015</v>
      </c>
      <c r="E26" s="547">
        <f>IF(C$6=0,0,D26/C$6*100)</f>
        <v>32.423273709101842</v>
      </c>
    </row>
    <row r="27" spans="2:5" x14ac:dyDescent="0.2">
      <c r="B27" s="366"/>
      <c r="C27" s="814"/>
      <c r="D27" s="817"/>
      <c r="E27" s="372"/>
    </row>
    <row r="28" spans="2:5" x14ac:dyDescent="0.2">
      <c r="B28" s="787" t="s">
        <v>503</v>
      </c>
      <c r="C28" s="812" t="s">
        <v>555</v>
      </c>
      <c r="D28" s="371">
        <v>8879.5547860000006</v>
      </c>
      <c r="E28" s="545">
        <f>IF(C$7=0,0,D28/C$7*100)</f>
        <v>99.735894387903869</v>
      </c>
    </row>
    <row r="29" spans="2:5" x14ac:dyDescent="0.2">
      <c r="B29" s="364"/>
      <c r="C29" s="814" t="s">
        <v>556</v>
      </c>
      <c r="D29" s="813">
        <v>7.8162229999999999</v>
      </c>
      <c r="E29" s="546">
        <f>IF(C$7=0,0,D29/C$7*100)</f>
        <v>8.7792463747101326E-2</v>
      </c>
    </row>
    <row r="30" spans="2:5" x14ac:dyDescent="0.2">
      <c r="B30" s="364"/>
      <c r="C30" s="814" t="s">
        <v>557</v>
      </c>
      <c r="D30" s="813">
        <v>15.697280000000001</v>
      </c>
      <c r="E30" s="546">
        <f>IF(C$7=0,0,D30/C$7*100)</f>
        <v>0.17631314834902981</v>
      </c>
    </row>
    <row r="31" spans="2:5" x14ac:dyDescent="0.2">
      <c r="B31" s="365"/>
      <c r="C31" s="815" t="s">
        <v>558</v>
      </c>
      <c r="D31" s="816">
        <f>D30+D29</f>
        <v>23.513503</v>
      </c>
      <c r="E31" s="547">
        <f>IF(C$7=0,0,D31/C$7*100)</f>
        <v>0.26410561209613115</v>
      </c>
    </row>
    <row r="32" spans="2:5" x14ac:dyDescent="0.2">
      <c r="C32" s="818"/>
      <c r="D32" s="818"/>
    </row>
    <row r="33" spans="2:6" x14ac:dyDescent="0.2">
      <c r="C33" s="818"/>
      <c r="D33" s="818"/>
    </row>
    <row r="34" spans="2:6" x14ac:dyDescent="0.2">
      <c r="B34" s="359" t="s">
        <v>559</v>
      </c>
      <c r="C34" s="818"/>
      <c r="D34" s="818"/>
    </row>
    <row r="35" spans="2:6" x14ac:dyDescent="0.2">
      <c r="C35" s="818"/>
      <c r="D35" s="818"/>
    </row>
    <row r="36" spans="2:6" x14ac:dyDescent="0.2">
      <c r="B36" s="362"/>
      <c r="C36" s="370" t="s">
        <v>560</v>
      </c>
      <c r="D36" s="370" t="s">
        <v>561</v>
      </c>
      <c r="E36" s="370" t="s">
        <v>562</v>
      </c>
      <c r="F36" s="370" t="s">
        <v>563</v>
      </c>
    </row>
    <row r="37" spans="2:6" x14ac:dyDescent="0.2">
      <c r="B37" s="363" t="s">
        <v>501</v>
      </c>
      <c r="C37" s="374" t="s">
        <v>556</v>
      </c>
      <c r="D37" s="375">
        <v>149.102058</v>
      </c>
      <c r="E37" s="548">
        <f>IF(C$4=0,0,D37/C$4*100)</f>
        <v>1.4039564586829538</v>
      </c>
      <c r="F37" s="545">
        <f>IF(D$16=0,0,D37/D$16*100)</f>
        <v>9.4360321599813766</v>
      </c>
    </row>
    <row r="38" spans="2:6" x14ac:dyDescent="0.2">
      <c r="B38" s="365"/>
      <c r="C38" s="376" t="s">
        <v>557</v>
      </c>
      <c r="D38" s="377">
        <v>60.488561000000011</v>
      </c>
      <c r="E38" s="549">
        <f>IF(C$4=0,0,D38/C$4*100)</f>
        <v>0.56956494787206657</v>
      </c>
      <c r="F38" s="547">
        <f>IF(D$16=0,0,D38/D$16*100)</f>
        <v>3.8280625670974668</v>
      </c>
    </row>
    <row r="39" spans="2:6" x14ac:dyDescent="0.2">
      <c r="C39" s="818"/>
      <c r="D39" s="813"/>
      <c r="E39" s="378"/>
      <c r="F39" s="378"/>
    </row>
    <row r="40" spans="2:6" x14ac:dyDescent="0.2">
      <c r="B40" s="363" t="s">
        <v>20</v>
      </c>
      <c r="C40" s="374" t="s">
        <v>556</v>
      </c>
      <c r="D40" s="375">
        <v>44.369721999999996</v>
      </c>
      <c r="E40" s="548">
        <f>IF(C$5=0,0,D40/C$5*100)</f>
        <v>2.1849276509119546</v>
      </c>
      <c r="F40" s="545">
        <f>IF(D$21=0,0,D40/D$21*100)</f>
        <v>6.1538017931932938</v>
      </c>
    </row>
    <row r="41" spans="2:6" x14ac:dyDescent="0.2">
      <c r="B41" s="365"/>
      <c r="C41" s="376" t="s">
        <v>557</v>
      </c>
      <c r="D41" s="377">
        <v>15.890341000000001</v>
      </c>
      <c r="E41" s="549">
        <f>IF(C$5=0,0,D41/C$5*100)</f>
        <v>0.7824986019366974</v>
      </c>
      <c r="F41" s="547">
        <f>IF(D$21=0,0,D41/D$21*100)</f>
        <v>2.2038905030834526</v>
      </c>
    </row>
    <row r="42" spans="2:6" x14ac:dyDescent="0.2">
      <c r="C42" s="379"/>
      <c r="D42" s="380"/>
      <c r="E42" s="378"/>
      <c r="F42" s="378"/>
    </row>
    <row r="43" spans="2:6" x14ac:dyDescent="0.2">
      <c r="B43" s="363" t="s">
        <v>502</v>
      </c>
      <c r="C43" s="374" t="s">
        <v>556</v>
      </c>
      <c r="D43" s="375">
        <v>69.938874999999996</v>
      </c>
      <c r="E43" s="548">
        <f>IF(C$6=0,0,D43/C$6*100)</f>
        <v>2.3059303519585974</v>
      </c>
      <c r="F43" s="545">
        <f>IF(D$26=0,0,D43/D$26*100)</f>
        <v>7.1119602932361454</v>
      </c>
    </row>
    <row r="44" spans="2:6" x14ac:dyDescent="0.2">
      <c r="B44" s="365"/>
      <c r="C44" s="376" t="s">
        <v>557</v>
      </c>
      <c r="D44" s="377">
        <v>77.289304000000001</v>
      </c>
      <c r="E44" s="549">
        <f>IF(C$6=0,0,D44/C$6*100)</f>
        <v>2.5482787930940418</v>
      </c>
      <c r="F44" s="547">
        <f>IF(D$26=0,0,D44/D$26*100)</f>
        <v>7.8594123960366495</v>
      </c>
    </row>
    <row r="45" spans="2:6" x14ac:dyDescent="0.2">
      <c r="C45" s="818"/>
      <c r="D45" s="380"/>
      <c r="E45" s="378"/>
      <c r="F45" s="378"/>
    </row>
    <row r="46" spans="2:6" x14ac:dyDescent="0.2">
      <c r="B46" s="363" t="s">
        <v>503</v>
      </c>
      <c r="C46" s="374" t="s">
        <v>556</v>
      </c>
      <c r="D46" s="375">
        <v>1.1392990000000001</v>
      </c>
      <c r="E46" s="548">
        <f>IF(C$7=0,0,D46/C$7*100)</f>
        <v>1.2796700676862572E-2</v>
      </c>
      <c r="F46" s="545">
        <f>IF(D$31=0,0,D46/D$31*100)</f>
        <v>4.8452967641614269</v>
      </c>
    </row>
    <row r="47" spans="2:6" x14ac:dyDescent="0.2">
      <c r="B47" s="365"/>
      <c r="C47" s="376" t="s">
        <v>557</v>
      </c>
      <c r="D47" s="377">
        <v>2.1834690000000001</v>
      </c>
      <c r="E47" s="549">
        <f>IF(C$7=0,0,D47/C$7*100)</f>
        <v>2.4524904551139291E-2</v>
      </c>
      <c r="F47" s="547">
        <f>IF(D$31=0,0,D47/D$31*100)</f>
        <v>9.2860217382327086</v>
      </c>
    </row>
    <row r="50" spans="2:6" x14ac:dyDescent="0.2">
      <c r="B50" s="359" t="s">
        <v>564</v>
      </c>
    </row>
    <row r="51" spans="2:6" x14ac:dyDescent="0.2">
      <c r="C51" s="818"/>
      <c r="D51" s="818"/>
    </row>
    <row r="52" spans="2:6" x14ac:dyDescent="0.2">
      <c r="B52" s="362"/>
      <c r="C52" s="370" t="s">
        <v>565</v>
      </c>
      <c r="D52" s="370" t="s">
        <v>561</v>
      </c>
      <c r="E52" s="370" t="s">
        <v>562</v>
      </c>
      <c r="F52" s="370" t="s">
        <v>563</v>
      </c>
    </row>
    <row r="53" spans="2:6" x14ac:dyDescent="0.2">
      <c r="B53" s="363" t="s">
        <v>501</v>
      </c>
      <c r="C53" s="374" t="s">
        <v>556</v>
      </c>
      <c r="D53" s="375">
        <v>506.95282099999991</v>
      </c>
      <c r="E53" s="548">
        <f>IF(C$4=0,0,D53/C$4*100)</f>
        <v>4.7735067968712634</v>
      </c>
      <c r="F53" s="545">
        <f>IF(D$16=0,0,D53/D$16*100)</f>
        <v>32.082877907354444</v>
      </c>
    </row>
    <row r="54" spans="2:6" x14ac:dyDescent="0.2">
      <c r="B54" s="365"/>
      <c r="C54" s="376" t="s">
        <v>557</v>
      </c>
      <c r="D54" s="377">
        <v>572.98255100000006</v>
      </c>
      <c r="E54" s="549">
        <f>IF(C$4=0,0,D54/C$4*100)</f>
        <v>5.3952478187060651</v>
      </c>
      <c r="F54" s="547">
        <f>IF(D$16=0,0,D54/D$16*100)</f>
        <v>36.261617383873869</v>
      </c>
    </row>
    <row r="55" spans="2:6" x14ac:dyDescent="0.2">
      <c r="C55" s="818"/>
      <c r="D55" s="813"/>
      <c r="E55" s="378"/>
      <c r="F55" s="378"/>
    </row>
    <row r="56" spans="2:6" x14ac:dyDescent="0.2">
      <c r="B56" s="363" t="s">
        <v>20</v>
      </c>
      <c r="C56" s="374" t="s">
        <v>556</v>
      </c>
      <c r="D56" s="375">
        <v>222.30553100000003</v>
      </c>
      <c r="E56" s="548">
        <f>IF(C$5=0,0,D56/C$5*100)</f>
        <v>10.947138718438776</v>
      </c>
      <c r="F56" s="545">
        <f>IF(D$21=0,0,D56/D$21*100)</f>
        <v>30.832381039137179</v>
      </c>
    </row>
    <row r="57" spans="2:6" x14ac:dyDescent="0.2">
      <c r="B57" s="365"/>
      <c r="C57" s="376" t="s">
        <v>557</v>
      </c>
      <c r="D57" s="377">
        <v>352.02155399999998</v>
      </c>
      <c r="E57" s="549">
        <f>IF(C$5=0,0,D57/C$5*100)</f>
        <v>17.334830879751642</v>
      </c>
      <c r="F57" s="547">
        <f>IF(D$21=0,0,D57/D$21*100)</f>
        <v>48.823178794040899</v>
      </c>
    </row>
    <row r="58" spans="2:6" x14ac:dyDescent="0.2">
      <c r="C58" s="379"/>
      <c r="D58" s="380"/>
      <c r="E58" s="378"/>
      <c r="F58" s="378"/>
    </row>
    <row r="59" spans="2:6" x14ac:dyDescent="0.2">
      <c r="B59" s="363" t="s">
        <v>502</v>
      </c>
      <c r="C59" s="374" t="s">
        <v>556</v>
      </c>
      <c r="D59" s="375">
        <v>314.91381200000001</v>
      </c>
      <c r="E59" s="548">
        <f>IF(C$6=0,0,D59/C$6*100)</f>
        <v>10.382913899341156</v>
      </c>
      <c r="F59" s="545">
        <f>IF(D$26=0,0,D59/D$26*100)</f>
        <v>32.023027632852731</v>
      </c>
    </row>
    <row r="60" spans="2:6" x14ac:dyDescent="0.2">
      <c r="B60" s="365"/>
      <c r="C60" s="376" t="s">
        <v>557</v>
      </c>
      <c r="D60" s="377">
        <v>407.44742000000002</v>
      </c>
      <c r="E60" s="549">
        <f>IF(C$6=0,0,D60/C$6*100)</f>
        <v>13.433807343987484</v>
      </c>
      <c r="F60" s="547">
        <f>IF(D$26=0,0,D60/D$26*100)</f>
        <v>41.432606295447435</v>
      </c>
    </row>
    <row r="61" spans="2:6" x14ac:dyDescent="0.2">
      <c r="C61" s="818"/>
      <c r="D61" s="380"/>
      <c r="E61" s="378"/>
      <c r="F61" s="378"/>
    </row>
    <row r="62" spans="2:6" x14ac:dyDescent="0.2">
      <c r="B62" s="363" t="s">
        <v>503</v>
      </c>
      <c r="C62" s="374" t="s">
        <v>556</v>
      </c>
      <c r="D62" s="375">
        <v>5.6769239999999996</v>
      </c>
      <c r="E62" s="548">
        <f>IF(C$7=0,0,D62/C$7*100)</f>
        <v>6.3763680292265118E-2</v>
      </c>
      <c r="F62" s="545">
        <f>IF(D$31=0,0,D62/D$31*100)</f>
        <v>24.143250795085699</v>
      </c>
    </row>
    <row r="63" spans="2:6" x14ac:dyDescent="0.2">
      <c r="B63" s="365"/>
      <c r="C63" s="376" t="s">
        <v>557</v>
      </c>
      <c r="D63" s="377">
        <v>7.9476170000000002</v>
      </c>
      <c r="E63" s="549">
        <f>IF(C$7=0,0,D63/C$7*100)</f>
        <v>8.9268292031630392E-2</v>
      </c>
      <c r="F63" s="547">
        <f>IF(D$31=0,0,D63/D$31*100)</f>
        <v>33.800225342859378</v>
      </c>
    </row>
    <row r="64" spans="2:6" x14ac:dyDescent="0.2">
      <c r="C64" s="818"/>
      <c r="D64" s="379"/>
    </row>
    <row r="65" spans="2:6" x14ac:dyDescent="0.2">
      <c r="C65" s="818"/>
      <c r="D65" s="379"/>
    </row>
    <row r="66" spans="2:6" x14ac:dyDescent="0.2">
      <c r="B66" s="359" t="s">
        <v>566</v>
      </c>
    </row>
    <row r="67" spans="2:6" x14ac:dyDescent="0.2">
      <c r="C67" s="818"/>
      <c r="D67" s="818"/>
    </row>
    <row r="68" spans="2:6" x14ac:dyDescent="0.2">
      <c r="B68" s="362"/>
      <c r="C68" s="370" t="s">
        <v>567</v>
      </c>
      <c r="D68" s="370" t="s">
        <v>561</v>
      </c>
      <c r="E68" s="370" t="s">
        <v>562</v>
      </c>
      <c r="F68" s="370" t="s">
        <v>563</v>
      </c>
    </row>
    <row r="69" spans="2:6" x14ac:dyDescent="0.2">
      <c r="B69" s="363" t="s">
        <v>501</v>
      </c>
      <c r="C69" s="374" t="s">
        <v>556</v>
      </c>
      <c r="D69" s="375">
        <v>156.31314600000002</v>
      </c>
      <c r="E69" s="548">
        <f>IF(C$4=0,0,D69/C$4*100)</f>
        <v>1.4718566185300512</v>
      </c>
      <c r="F69" s="545">
        <f>IF(D$16=0,0,D69/D$16*100)</f>
        <v>9.8923911075986926</v>
      </c>
    </row>
    <row r="70" spans="2:6" x14ac:dyDescent="0.2">
      <c r="B70" s="365"/>
      <c r="C70" s="376" t="s">
        <v>557</v>
      </c>
      <c r="D70" s="377">
        <v>134.29598199999998</v>
      </c>
      <c r="E70" s="549">
        <f>IF(C$4=0,0,D70/C$4*100)</f>
        <v>1.2645413070292411</v>
      </c>
      <c r="F70" s="547">
        <f>IF(D$16=0,0,D70/D$16*100)</f>
        <v>8.4990188740941459</v>
      </c>
    </row>
    <row r="71" spans="2:6" x14ac:dyDescent="0.2">
      <c r="C71" s="818"/>
      <c r="D71" s="813"/>
      <c r="E71" s="378"/>
      <c r="F71" s="378"/>
    </row>
    <row r="72" spans="2:6" x14ac:dyDescent="0.2">
      <c r="B72" s="363" t="s">
        <v>20</v>
      </c>
      <c r="C72" s="374" t="s">
        <v>556</v>
      </c>
      <c r="D72" s="375">
        <v>41.036555999999997</v>
      </c>
      <c r="E72" s="548">
        <f>IF(C$5=0,0,D72/C$5*100)</f>
        <v>2.0207903466827415</v>
      </c>
      <c r="F72" s="545">
        <f>IF(D$21=0,0,D72/D$21*100)</f>
        <v>5.6915126017529936</v>
      </c>
    </row>
    <row r="73" spans="2:6" x14ac:dyDescent="0.2">
      <c r="B73" s="365"/>
      <c r="C73" s="376" t="s">
        <v>557</v>
      </c>
      <c r="D73" s="377">
        <v>45.389476000000002</v>
      </c>
      <c r="E73" s="549">
        <f>IF(C$5=0,0,D73/C$5*100)</f>
        <v>2.2351440735374575</v>
      </c>
      <c r="F73" s="547">
        <f>IF(D$21=0,0,D73/D$21*100)</f>
        <v>6.2952352687921733</v>
      </c>
    </row>
    <row r="74" spans="2:6" x14ac:dyDescent="0.2">
      <c r="C74" s="379"/>
      <c r="D74" s="380"/>
      <c r="E74" s="378"/>
      <c r="F74" s="378"/>
    </row>
    <row r="75" spans="2:6" x14ac:dyDescent="0.2">
      <c r="B75" s="363" t="s">
        <v>502</v>
      </c>
      <c r="C75" s="374" t="s">
        <v>556</v>
      </c>
      <c r="D75" s="375">
        <v>66.195436000000001</v>
      </c>
      <c r="E75" s="548">
        <f>IF(C$6=0,0,D75/C$6*100)</f>
        <v>2.1825067251014953</v>
      </c>
      <c r="F75" s="545">
        <f>IF(D$26=0,0,D75/D$26*100)</f>
        <v>6.7312966132991789</v>
      </c>
    </row>
    <row r="76" spans="2:6" x14ac:dyDescent="0.2">
      <c r="B76" s="365"/>
      <c r="C76" s="376" t="s">
        <v>557</v>
      </c>
      <c r="D76" s="377">
        <v>47.613148999999993</v>
      </c>
      <c r="E76" s="549">
        <f>IF(C$6=0,0,D76/C$6*100)</f>
        <v>1.5698365956190623</v>
      </c>
      <c r="F76" s="547">
        <f>IF(D$26=0,0,D76/D$26*100)</f>
        <v>4.8416967691278465</v>
      </c>
    </row>
    <row r="77" spans="2:6" x14ac:dyDescent="0.2">
      <c r="C77" s="818"/>
      <c r="D77" s="380"/>
      <c r="E77" s="378"/>
      <c r="F77" s="378"/>
    </row>
    <row r="78" spans="2:6" x14ac:dyDescent="0.2">
      <c r="B78" s="363" t="s">
        <v>503</v>
      </c>
      <c r="C78" s="374" t="s">
        <v>556</v>
      </c>
      <c r="D78" s="375">
        <v>1</v>
      </c>
      <c r="E78" s="548">
        <f>IF(C$7=0,0,D78/C$7*100)</f>
        <v>1.1232082777973624E-2</v>
      </c>
      <c r="F78" s="545">
        <f>IF(D$31=0,0,D78/D$31*100)</f>
        <v>4.2528754647914431</v>
      </c>
    </row>
    <row r="79" spans="2:6" x14ac:dyDescent="0.2">
      <c r="B79" s="365"/>
      <c r="C79" s="376" t="s">
        <v>557</v>
      </c>
      <c r="D79" s="377">
        <v>5.5661940000000003</v>
      </c>
      <c r="E79" s="549">
        <f>IF(C$7=0,0,D79/C$7*100)</f>
        <v>6.2519951766260115E-2</v>
      </c>
      <c r="F79" s="547">
        <f>IF(D$31=0,0,D79/D$31*100)</f>
        <v>23.672329894869346</v>
      </c>
    </row>
    <row r="82" spans="2:6" x14ac:dyDescent="0.2">
      <c r="B82" s="381"/>
      <c r="C82" s="382"/>
      <c r="D82" s="382"/>
      <c r="E82" s="382"/>
      <c r="F82" s="382"/>
    </row>
    <row r="83" spans="2:6" x14ac:dyDescent="0.2">
      <c r="B83" s="382"/>
      <c r="C83" s="819"/>
      <c r="D83" s="819"/>
      <c r="E83" s="382"/>
      <c r="F83" s="382"/>
    </row>
    <row r="84" spans="2:6" x14ac:dyDescent="0.2">
      <c r="B84" s="383"/>
      <c r="C84" s="384"/>
      <c r="D84" s="384"/>
      <c r="E84" s="384"/>
      <c r="F84" s="384"/>
    </row>
    <row r="85" spans="2:6" x14ac:dyDescent="0.2">
      <c r="B85" s="382"/>
      <c r="C85" s="382"/>
      <c r="D85" s="382"/>
      <c r="E85" s="385"/>
      <c r="F85" s="385"/>
    </row>
    <row r="86" spans="2:6" x14ac:dyDescent="0.2">
      <c r="B86" s="382"/>
      <c r="C86" s="382"/>
      <c r="D86" s="382"/>
      <c r="E86" s="385"/>
      <c r="F86" s="385"/>
    </row>
    <row r="87" spans="2:6" x14ac:dyDescent="0.2">
      <c r="B87" s="382"/>
      <c r="C87" s="819"/>
      <c r="D87" s="819"/>
      <c r="E87" s="385"/>
      <c r="F87" s="385"/>
    </row>
    <row r="88" spans="2:6" x14ac:dyDescent="0.2">
      <c r="B88" s="382"/>
      <c r="C88" s="382"/>
      <c r="D88" s="382"/>
      <c r="E88" s="385"/>
      <c r="F88" s="385"/>
    </row>
    <row r="89" spans="2:6" x14ac:dyDescent="0.2">
      <c r="B89" s="382"/>
      <c r="C89" s="382"/>
      <c r="D89" s="382"/>
      <c r="E89" s="385"/>
      <c r="F89" s="385"/>
    </row>
    <row r="90" spans="2:6" x14ac:dyDescent="0.2">
      <c r="B90" s="382"/>
      <c r="C90" s="386"/>
      <c r="D90" s="386"/>
      <c r="E90" s="385"/>
      <c r="F90" s="385"/>
    </row>
    <row r="91" spans="2:6" x14ac:dyDescent="0.2">
      <c r="B91" s="382"/>
      <c r="C91" s="382"/>
      <c r="D91" s="382"/>
      <c r="E91" s="385"/>
      <c r="F91" s="385"/>
    </row>
    <row r="92" spans="2:6" x14ac:dyDescent="0.2">
      <c r="B92" s="382"/>
      <c r="C92" s="382"/>
      <c r="D92" s="382"/>
      <c r="E92" s="385"/>
      <c r="F92" s="385"/>
    </row>
    <row r="93" spans="2:6" x14ac:dyDescent="0.2">
      <c r="B93" s="382"/>
      <c r="C93" s="819"/>
      <c r="D93" s="386"/>
      <c r="E93" s="385"/>
      <c r="F93" s="385"/>
    </row>
    <row r="94" spans="2:6" x14ac:dyDescent="0.2">
      <c r="B94" s="382"/>
      <c r="C94" s="382"/>
      <c r="D94" s="382"/>
      <c r="E94" s="385"/>
      <c r="F94" s="385"/>
    </row>
    <row r="95" spans="2:6" x14ac:dyDescent="0.2">
      <c r="B95" s="382"/>
      <c r="C95" s="382"/>
      <c r="D95" s="382"/>
      <c r="E95" s="385"/>
      <c r="F95" s="385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ht="13.5" thickBot="1" x14ac:dyDescent="0.25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ht="15" x14ac:dyDescent="0.2">
      <c r="A3" s="278"/>
      <c r="B3" s="992" t="s">
        <v>706</v>
      </c>
      <c r="C3" s="993"/>
      <c r="D3" s="993"/>
      <c r="E3" s="993"/>
      <c r="F3" s="993"/>
      <c r="G3" s="993"/>
      <c r="H3" s="993"/>
      <c r="J3" s="994" t="s">
        <v>811</v>
      </c>
      <c r="K3" s="994" t="s">
        <v>812</v>
      </c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995"/>
      <c r="K4" s="995"/>
    </row>
    <row r="5" spans="1:19" s="23" customFormat="1" x14ac:dyDescent="0.2">
      <c r="A5" s="433"/>
      <c r="B5" s="441"/>
      <c r="C5" s="431" t="s">
        <v>106</v>
      </c>
      <c r="D5" s="432">
        <v>35136.934000000001</v>
      </c>
      <c r="E5" s="434">
        <v>232722.22099999999</v>
      </c>
      <c r="F5" s="439">
        <v>1.3249205983688215</v>
      </c>
      <c r="G5" s="446">
        <f>E5*F5/100</f>
        <v>3083.3846430104109</v>
      </c>
      <c r="H5" s="447">
        <f>SUM(D5,E5)</f>
        <v>267859.15499999997</v>
      </c>
      <c r="I5" s="433"/>
      <c r="J5" s="893"/>
      <c r="K5" s="893"/>
    </row>
    <row r="6" spans="1:19" s="24" customFormat="1" x14ac:dyDescent="0.2">
      <c r="A6" s="435"/>
      <c r="B6" s="442"/>
      <c r="C6" s="431" t="s">
        <v>92</v>
      </c>
      <c r="D6" s="432">
        <v>26375.967000000001</v>
      </c>
      <c r="E6" s="434">
        <v>63619.548999999999</v>
      </c>
      <c r="F6" s="439">
        <v>2.44942320338764</v>
      </c>
      <c r="G6" s="446">
        <f t="shared" ref="G6:G26" si="0">E6*F6/100</f>
        <v>1558.3119950965693</v>
      </c>
      <c r="H6" s="447">
        <f>SUM(D6,E6)</f>
        <v>89995.516000000003</v>
      </c>
      <c r="I6" s="435"/>
      <c r="J6" s="894"/>
      <c r="K6" s="894"/>
    </row>
    <row r="7" spans="1:19" s="24" customFormat="1" x14ac:dyDescent="0.2">
      <c r="A7" s="435"/>
      <c r="B7" s="442"/>
      <c r="C7" s="431" t="s">
        <v>105</v>
      </c>
      <c r="D7" s="432">
        <v>8760.9670000000006</v>
      </c>
      <c r="E7" s="434">
        <v>169181.13</v>
      </c>
      <c r="F7" s="439">
        <v>1.6188044985800498</v>
      </c>
      <c r="G7" s="446">
        <f>E7*F7/100</f>
        <v>2738.7117431885622</v>
      </c>
      <c r="H7" s="447">
        <f>SUM(D7,E7)</f>
        <v>177942.09700000001</v>
      </c>
      <c r="I7" s="435"/>
      <c r="J7" s="894"/>
      <c r="K7" s="894"/>
    </row>
    <row r="8" spans="1:19" s="24" customFormat="1" x14ac:dyDescent="0.2">
      <c r="A8" s="435"/>
      <c r="B8" s="442"/>
      <c r="C8" s="431" t="s">
        <v>84</v>
      </c>
      <c r="D8" s="432">
        <v>8794.0450000000001</v>
      </c>
      <c r="E8" s="436">
        <v>11322.37</v>
      </c>
      <c r="F8" s="439">
        <v>8.0702506656865545</v>
      </c>
      <c r="G8" s="446">
        <f t="shared" si="0"/>
        <v>913.74364029649485</v>
      </c>
      <c r="H8" s="447">
        <f>SUM(D8,E8)</f>
        <v>20116.415000000001</v>
      </c>
      <c r="I8" s="435"/>
      <c r="J8" s="895">
        <f>H8/$H$6</f>
        <v>0.22352685882705534</v>
      </c>
      <c r="K8" s="895">
        <f>H8/$H$5</f>
        <v>7.5100718510069234E-2</v>
      </c>
    </row>
    <row r="9" spans="1:19" s="24" customFormat="1" x14ac:dyDescent="0.2">
      <c r="A9" s="435"/>
      <c r="B9" s="442"/>
      <c r="C9" s="431" t="s">
        <v>85</v>
      </c>
      <c r="D9" s="432">
        <v>3869.06</v>
      </c>
      <c r="E9" s="436">
        <v>14865.377</v>
      </c>
      <c r="F9" s="439">
        <v>5.2397247015517268</v>
      </c>
      <c r="G9" s="446">
        <f t="shared" si="0"/>
        <v>778.90483064778903</v>
      </c>
      <c r="H9" s="447">
        <f t="shared" ref="H9:H26" si="1">SUM(D9,E9)</f>
        <v>18734.437000000002</v>
      </c>
      <c r="I9" s="435"/>
      <c r="J9" s="895">
        <f t="shared" ref="J9:J15" si="2">H9/$H$6</f>
        <v>0.20817078264210409</v>
      </c>
      <c r="K9" s="895">
        <f t="shared" ref="K9:K26" si="3">H9/$H$5</f>
        <v>6.9941372733741375E-2</v>
      </c>
    </row>
    <row r="10" spans="1:19" s="24" customFormat="1" x14ac:dyDescent="0.2">
      <c r="A10" s="435"/>
      <c r="B10" s="442"/>
      <c r="C10" s="431" t="s">
        <v>86</v>
      </c>
      <c r="D10" s="432">
        <v>5381.973</v>
      </c>
      <c r="E10" s="436">
        <v>4813.3469999999998</v>
      </c>
      <c r="F10" s="439">
        <v>9.5708865979544431</v>
      </c>
      <c r="G10" s="446">
        <f t="shared" si="0"/>
        <v>460.67998293604222</v>
      </c>
      <c r="H10" s="447">
        <f t="shared" si="1"/>
        <v>10195.32</v>
      </c>
      <c r="I10" s="435"/>
      <c r="J10" s="895">
        <f t="shared" si="2"/>
        <v>0.11328697754230332</v>
      </c>
      <c r="K10" s="895">
        <f t="shared" si="3"/>
        <v>3.8062242076437526E-2</v>
      </c>
    </row>
    <row r="11" spans="1:19" s="24" customFormat="1" x14ac:dyDescent="0.2">
      <c r="A11" s="435"/>
      <c r="B11" s="442"/>
      <c r="C11" s="431" t="s">
        <v>87</v>
      </c>
      <c r="D11" s="432">
        <v>1674.4849999999999</v>
      </c>
      <c r="E11" s="436">
        <v>6980.5320000000002</v>
      </c>
      <c r="F11" s="439">
        <v>7.8754902144785328</v>
      </c>
      <c r="G11" s="446">
        <f t="shared" si="0"/>
        <v>549.75111457854257</v>
      </c>
      <c r="H11" s="447">
        <f t="shared" si="1"/>
        <v>8655.0169999999998</v>
      </c>
      <c r="I11" s="435"/>
      <c r="J11" s="895">
        <f t="shared" si="2"/>
        <v>9.6171647040725894E-2</v>
      </c>
      <c r="K11" s="895">
        <f t="shared" si="3"/>
        <v>3.2311820740269268E-2</v>
      </c>
    </row>
    <row r="12" spans="1:19" s="24" customFormat="1" x14ac:dyDescent="0.2">
      <c r="A12" s="435"/>
      <c r="B12" s="442"/>
      <c r="C12" s="431" t="s">
        <v>88</v>
      </c>
      <c r="D12" s="432">
        <v>1677.8589999999999</v>
      </c>
      <c r="E12" s="436">
        <v>10778.144</v>
      </c>
      <c r="F12" s="439">
        <v>5.8904734254558937</v>
      </c>
      <c r="G12" s="446">
        <f t="shared" si="0"/>
        <v>634.88370807736885</v>
      </c>
      <c r="H12" s="447">
        <f t="shared" si="1"/>
        <v>12456.003000000001</v>
      </c>
      <c r="I12" s="435"/>
      <c r="J12" s="895">
        <f t="shared" si="2"/>
        <v>0.13840692907411076</v>
      </c>
      <c r="K12" s="895">
        <f t="shared" si="3"/>
        <v>4.6502061876511194E-2</v>
      </c>
    </row>
    <row r="13" spans="1:19" s="24" customFormat="1" x14ac:dyDescent="0.2">
      <c r="A13" s="435"/>
      <c r="B13" s="442"/>
      <c r="C13" s="431" t="s">
        <v>89</v>
      </c>
      <c r="D13" s="432">
        <v>2637.7750000000001</v>
      </c>
      <c r="E13" s="436">
        <v>6388.1040000000003</v>
      </c>
      <c r="F13" s="439">
        <v>9.7783528008919944</v>
      </c>
      <c r="G13" s="446">
        <f t="shared" si="0"/>
        <v>624.65134640789358</v>
      </c>
      <c r="H13" s="447">
        <f t="shared" si="1"/>
        <v>9025.8790000000008</v>
      </c>
      <c r="I13" s="435"/>
      <c r="J13" s="895">
        <f t="shared" si="2"/>
        <v>0.10029254124172142</v>
      </c>
      <c r="K13" s="895">
        <f t="shared" si="3"/>
        <v>3.3696361806263453E-2</v>
      </c>
    </row>
    <row r="14" spans="1:19" s="24" customFormat="1" x14ac:dyDescent="0.2">
      <c r="A14" s="435"/>
      <c r="B14" s="442"/>
      <c r="C14" s="431" t="s">
        <v>90</v>
      </c>
      <c r="D14" s="432">
        <v>813.91800000000001</v>
      </c>
      <c r="E14" s="436">
        <v>1011.795</v>
      </c>
      <c r="F14" s="439">
        <v>20.883961253261159</v>
      </c>
      <c r="G14" s="446">
        <f t="shared" si="0"/>
        <v>211.30287576243373</v>
      </c>
      <c r="H14" s="447">
        <f t="shared" si="1"/>
        <v>1825.713</v>
      </c>
      <c r="I14" s="435"/>
      <c r="J14" s="895">
        <f t="shared" si="2"/>
        <v>2.0286710729010098E-2</v>
      </c>
      <c r="K14" s="895">
        <f t="shared" si="3"/>
        <v>6.8159439986286829E-3</v>
      </c>
    </row>
    <row r="15" spans="1:19" s="24" customFormat="1" x14ac:dyDescent="0.2">
      <c r="A15" s="435"/>
      <c r="B15" s="442"/>
      <c r="C15" s="431" t="s">
        <v>91</v>
      </c>
      <c r="D15" s="432">
        <v>1526.8510000000001</v>
      </c>
      <c r="E15" s="436">
        <v>7420.02</v>
      </c>
      <c r="F15" s="439">
        <v>10.068199482888138</v>
      </c>
      <c r="G15" s="446">
        <f t="shared" si="0"/>
        <v>747.06241527019654</v>
      </c>
      <c r="H15" s="447">
        <f t="shared" si="1"/>
        <v>8946.871000000001</v>
      </c>
      <c r="I15" s="435"/>
      <c r="J15" s="896">
        <f t="shared" si="2"/>
        <v>9.941463083560742E-2</v>
      </c>
      <c r="K15" s="895">
        <f t="shared" si="3"/>
        <v>3.3401400822010367E-2</v>
      </c>
    </row>
    <row r="16" spans="1:19" s="24" customFormat="1" x14ac:dyDescent="0.2">
      <c r="A16" s="435"/>
      <c r="B16" s="442"/>
      <c r="C16" s="431" t="s">
        <v>94</v>
      </c>
      <c r="D16" s="432">
        <v>3345.3009999999999</v>
      </c>
      <c r="E16" s="436">
        <v>50885.180999999997</v>
      </c>
      <c r="F16" s="439">
        <v>3.4947469097501185</v>
      </c>
      <c r="G16" s="446">
        <f t="shared" si="0"/>
        <v>1778.3082905182541</v>
      </c>
      <c r="H16" s="447">
        <f t="shared" si="1"/>
        <v>54230.481999999996</v>
      </c>
      <c r="I16" s="435"/>
      <c r="J16" s="895">
        <f>H16/$H$7</f>
        <v>0.30476476850781403</v>
      </c>
      <c r="K16" s="895">
        <f t="shared" si="3"/>
        <v>0.20245894526173652</v>
      </c>
    </row>
    <row r="17" spans="1:18" s="24" customFormat="1" x14ac:dyDescent="0.2">
      <c r="A17" s="435"/>
      <c r="B17" s="442"/>
      <c r="C17" s="431" t="s">
        <v>95</v>
      </c>
      <c r="D17" s="432">
        <v>2802.3789999999999</v>
      </c>
      <c r="E17" s="436">
        <v>19173.143</v>
      </c>
      <c r="F17" s="439">
        <v>6.3898607170482187</v>
      </c>
      <c r="G17" s="446">
        <f t="shared" si="0"/>
        <v>1225.1371327804802</v>
      </c>
      <c r="H17" s="447">
        <f t="shared" si="1"/>
        <v>21975.522000000001</v>
      </c>
      <c r="I17" s="435"/>
      <c r="J17" s="895">
        <f t="shared" ref="J17:J26" si="4">H17/$H$7</f>
        <v>0.12349816243876231</v>
      </c>
      <c r="K17" s="895">
        <f t="shared" si="3"/>
        <v>8.2041332505510225E-2</v>
      </c>
    </row>
    <row r="18" spans="1:18" s="24" customFormat="1" x14ac:dyDescent="0.2">
      <c r="A18" s="435"/>
      <c r="B18" s="442"/>
      <c r="C18" s="431" t="s">
        <v>96</v>
      </c>
      <c r="D18" s="432">
        <v>150.345</v>
      </c>
      <c r="E18" s="436">
        <v>16253.43</v>
      </c>
      <c r="F18" s="439">
        <v>5.9722187130328406</v>
      </c>
      <c r="G18" s="446">
        <f t="shared" si="0"/>
        <v>970.69038796969369</v>
      </c>
      <c r="H18" s="447">
        <f t="shared" si="1"/>
        <v>16403.775000000001</v>
      </c>
      <c r="I18" s="435"/>
      <c r="J18" s="895">
        <f t="shared" si="4"/>
        <v>9.2186027233342099E-2</v>
      </c>
      <c r="K18" s="895">
        <f t="shared" si="3"/>
        <v>6.1240299962866694E-2</v>
      </c>
    </row>
    <row r="19" spans="1:18" s="24" customFormat="1" x14ac:dyDescent="0.2">
      <c r="A19" s="435"/>
      <c r="B19" s="442"/>
      <c r="C19" s="431" t="s">
        <v>97</v>
      </c>
      <c r="D19" s="432">
        <v>417.30799999999999</v>
      </c>
      <c r="E19" s="436">
        <v>29304.577000000001</v>
      </c>
      <c r="F19" s="439">
        <v>4.1090444887909863</v>
      </c>
      <c r="G19" s="446">
        <f t="shared" si="0"/>
        <v>1204.1381061820109</v>
      </c>
      <c r="H19" s="447">
        <f t="shared" si="1"/>
        <v>29721.885000000002</v>
      </c>
      <c r="I19" s="435"/>
      <c r="J19" s="895">
        <f t="shared" si="4"/>
        <v>0.16703121690197908</v>
      </c>
      <c r="K19" s="895">
        <f t="shared" si="3"/>
        <v>0.11096087046194111</v>
      </c>
    </row>
    <row r="20" spans="1:18" s="24" customFormat="1" x14ac:dyDescent="0.2">
      <c r="A20" s="435"/>
      <c r="B20" s="442"/>
      <c r="C20" s="431" t="s">
        <v>98</v>
      </c>
      <c r="D20" s="432">
        <v>505.714</v>
      </c>
      <c r="E20" s="436">
        <v>11383.196</v>
      </c>
      <c r="F20" s="439">
        <v>4.2546292872472886</v>
      </c>
      <c r="G20" s="446">
        <f t="shared" si="0"/>
        <v>484.31279084076186</v>
      </c>
      <c r="H20" s="447">
        <f t="shared" si="1"/>
        <v>11888.91</v>
      </c>
      <c r="I20" s="435"/>
      <c r="J20" s="895">
        <f t="shared" si="4"/>
        <v>6.6813363450471189E-2</v>
      </c>
      <c r="K20" s="895">
        <f t="shared" si="3"/>
        <v>4.4384930580401487E-2</v>
      </c>
    </row>
    <row r="21" spans="1:18" s="24" customFormat="1" x14ac:dyDescent="0.2">
      <c r="A21" s="435"/>
      <c r="B21" s="442"/>
      <c r="C21" s="431" t="s">
        <v>99</v>
      </c>
      <c r="D21" s="432">
        <v>126.63800000000001</v>
      </c>
      <c r="E21" s="436">
        <v>7944.4719999999998</v>
      </c>
      <c r="F21" s="439">
        <v>8.6048188787624422</v>
      </c>
      <c r="G21" s="446">
        <f t="shared" si="0"/>
        <v>683.60742647399616</v>
      </c>
      <c r="H21" s="447">
        <f t="shared" si="1"/>
        <v>8071.11</v>
      </c>
      <c r="I21" s="435"/>
      <c r="J21" s="895">
        <f t="shared" si="4"/>
        <v>4.5358069484816736E-2</v>
      </c>
      <c r="K21" s="895">
        <f t="shared" si="3"/>
        <v>3.0131917649034622E-2</v>
      </c>
    </row>
    <row r="22" spans="1:18" s="24" customFormat="1" x14ac:dyDescent="0.2">
      <c r="A22" s="435"/>
      <c r="B22" s="442"/>
      <c r="C22" s="431" t="s">
        <v>100</v>
      </c>
      <c r="D22" s="432">
        <v>46.287999999999997</v>
      </c>
      <c r="E22" s="436">
        <v>4717.8090000000002</v>
      </c>
      <c r="F22" s="439">
        <v>5.5567851883451347</v>
      </c>
      <c r="G22" s="446">
        <f t="shared" si="0"/>
        <v>262.15851172641374</v>
      </c>
      <c r="H22" s="447">
        <f t="shared" si="1"/>
        <v>4764.0969999999998</v>
      </c>
      <c r="I22" s="435"/>
      <c r="J22" s="895">
        <f t="shared" si="4"/>
        <v>2.6773299181699538E-2</v>
      </c>
      <c r="K22" s="895">
        <f t="shared" si="3"/>
        <v>1.7785828526189446E-2</v>
      </c>
    </row>
    <row r="23" spans="1:18" s="24" customFormat="1" x14ac:dyDescent="0.2">
      <c r="A23" s="435"/>
      <c r="B23" s="442"/>
      <c r="C23" s="431" t="s">
        <v>101</v>
      </c>
      <c r="D23" s="432">
        <v>8.3000000000000004E-2</v>
      </c>
      <c r="E23" s="436">
        <v>2644.65</v>
      </c>
      <c r="F23" s="439">
        <v>6.0094883944872581</v>
      </c>
      <c r="G23" s="446">
        <f t="shared" si="0"/>
        <v>158.92993482480728</v>
      </c>
      <c r="H23" s="447">
        <f t="shared" si="1"/>
        <v>2644.7330000000002</v>
      </c>
      <c r="I23" s="435"/>
      <c r="J23" s="895">
        <f t="shared" si="4"/>
        <v>1.4862885425026772E-2</v>
      </c>
      <c r="K23" s="895">
        <f t="shared" si="3"/>
        <v>9.8735956962157992E-3</v>
      </c>
    </row>
    <row r="24" spans="1:18" s="24" customFormat="1" x14ac:dyDescent="0.2">
      <c r="A24" s="435"/>
      <c r="B24" s="442"/>
      <c r="C24" s="431" t="s">
        <v>102</v>
      </c>
      <c r="D24" s="432">
        <v>70.191999999999993</v>
      </c>
      <c r="E24" s="436">
        <v>6693.2169999999996</v>
      </c>
      <c r="F24" s="439">
        <v>7.6870122588061376</v>
      </c>
      <c r="G24" s="446">
        <f t="shared" si="0"/>
        <v>514.50841129849641</v>
      </c>
      <c r="H24" s="447">
        <f t="shared" si="1"/>
        <v>6763.4089999999997</v>
      </c>
      <c r="I24" s="435"/>
      <c r="J24" s="895">
        <f t="shared" si="4"/>
        <v>3.8009044031890885E-2</v>
      </c>
      <c r="K24" s="895">
        <f t="shared" si="3"/>
        <v>2.52498705896388E-2</v>
      </c>
    </row>
    <row r="25" spans="1:18" s="24" customFormat="1" x14ac:dyDescent="0.2">
      <c r="A25" s="435"/>
      <c r="B25" s="442"/>
      <c r="C25" s="431" t="s">
        <v>103</v>
      </c>
      <c r="D25" s="432">
        <v>0.80400000000000005</v>
      </c>
      <c r="E25" s="436">
        <v>4747.4430000000002</v>
      </c>
      <c r="F25" s="439">
        <v>7.956484250111699</v>
      </c>
      <c r="G25" s="446">
        <f t="shared" si="0"/>
        <v>377.72955457803039</v>
      </c>
      <c r="H25" s="447">
        <f t="shared" si="1"/>
        <v>4748.2470000000003</v>
      </c>
      <c r="I25" s="435"/>
      <c r="J25" s="895">
        <f t="shared" si="4"/>
        <v>2.6684225262333511E-2</v>
      </c>
      <c r="K25" s="895">
        <f t="shared" si="3"/>
        <v>1.7726655637362854E-2</v>
      </c>
    </row>
    <row r="26" spans="1:18" s="24" customFormat="1" ht="13.5" thickBot="1" x14ac:dyDescent="0.25">
      <c r="A26" s="435"/>
      <c r="B26" s="297"/>
      <c r="C26" s="437" t="s">
        <v>104</v>
      </c>
      <c r="D26" s="440">
        <v>1295.914</v>
      </c>
      <c r="E26" s="440">
        <v>15492.971</v>
      </c>
      <c r="F26" s="438">
        <v>5.4802353311227021</v>
      </c>
      <c r="G26" s="336">
        <f t="shared" si="0"/>
        <v>849.05127058259416</v>
      </c>
      <c r="H26" s="344">
        <f t="shared" si="1"/>
        <v>16788.884999999998</v>
      </c>
      <c r="I26" s="435"/>
      <c r="J26" s="897">
        <f t="shared" si="4"/>
        <v>9.4350270582682846E-2</v>
      </c>
      <c r="K26" s="897">
        <f t="shared" si="3"/>
        <v>6.2678033162614888E-2</v>
      </c>
    </row>
    <row r="27" spans="1:18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8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  <row r="29" spans="1:18" s="24" customFormat="1" ht="15" x14ac:dyDescent="0.2">
      <c r="B29" s="992" t="s">
        <v>706</v>
      </c>
      <c r="C29" s="993"/>
      <c r="D29" s="993"/>
      <c r="E29" s="993"/>
      <c r="F29" s="993"/>
      <c r="G29" s="993"/>
      <c r="H29" s="993"/>
    </row>
    <row r="30" spans="1:18" s="24" customFormat="1" x14ac:dyDescent="0.2">
      <c r="B30" s="286"/>
      <c r="C30" s="286" t="s">
        <v>709</v>
      </c>
      <c r="D30" s="445" t="s">
        <v>78</v>
      </c>
      <c r="E30" s="445" t="s">
        <v>309</v>
      </c>
      <c r="F30" s="445" t="s">
        <v>82</v>
      </c>
      <c r="G30" s="445" t="s">
        <v>310</v>
      </c>
      <c r="H30" s="445" t="s">
        <v>486</v>
      </c>
    </row>
    <row r="31" spans="1:18" s="23" customFormat="1" x14ac:dyDescent="0.2">
      <c r="B31" s="441" t="s">
        <v>92</v>
      </c>
      <c r="C31" s="431" t="s">
        <v>119</v>
      </c>
      <c r="D31" s="432">
        <v>5.1269999999999998</v>
      </c>
      <c r="E31" s="434">
        <v>3.0750000000000002</v>
      </c>
      <c r="F31" s="439">
        <v>43.105124072062488</v>
      </c>
      <c r="G31" s="446">
        <f>E31*F31/100</f>
        <v>1.3254825652159214</v>
      </c>
      <c r="H31" s="447">
        <f>SUM(D31,E31)</f>
        <v>8.202</v>
      </c>
      <c r="K31" t="s">
        <v>379</v>
      </c>
      <c r="L31" t="s">
        <v>611</v>
      </c>
      <c r="M31" t="s">
        <v>612</v>
      </c>
      <c r="N31" t="s">
        <v>613</v>
      </c>
      <c r="O31" t="s">
        <v>614</v>
      </c>
      <c r="P31" t="s">
        <v>613</v>
      </c>
      <c r="Q31" t="s">
        <v>615</v>
      </c>
      <c r="R31" t="s">
        <v>613</v>
      </c>
    </row>
    <row r="32" spans="1:18" s="23" customFormat="1" x14ac:dyDescent="0.2">
      <c r="B32" s="441"/>
      <c r="C32" s="431" t="s">
        <v>120</v>
      </c>
      <c r="D32" s="432">
        <v>693.78899999999999</v>
      </c>
      <c r="E32" s="434">
        <v>480.685</v>
      </c>
      <c r="F32" s="439">
        <v>16.292827417427155</v>
      </c>
      <c r="G32" s="446">
        <f t="shared" ref="G32:G37" si="5">E32*F32/100</f>
        <v>78.317177471459715</v>
      </c>
      <c r="H32" s="447">
        <f t="shared" ref="H32:H37" si="6">SUM(D32,E32)</f>
        <v>1174.4739999999999</v>
      </c>
      <c r="K32">
        <v>2012</v>
      </c>
      <c r="L32" t="s">
        <v>616</v>
      </c>
      <c r="M32" s="540">
        <v>1989</v>
      </c>
      <c r="N32" s="540">
        <v>40.799999999999997</v>
      </c>
      <c r="O32" s="540">
        <v>643</v>
      </c>
      <c r="P32" s="540">
        <v>82.48</v>
      </c>
      <c r="Q32" s="540">
        <v>1332</v>
      </c>
      <c r="R32" s="540">
        <v>45.38</v>
      </c>
    </row>
    <row r="33" spans="2:18" s="23" customFormat="1" x14ac:dyDescent="0.2">
      <c r="B33" s="441"/>
      <c r="C33" s="431" t="s">
        <v>121</v>
      </c>
      <c r="D33" s="432">
        <v>7316.4279999999999</v>
      </c>
      <c r="E33" s="434">
        <v>14647.669</v>
      </c>
      <c r="F33" s="439">
        <v>6.0764027655986776</v>
      </c>
      <c r="G33" s="446">
        <f t="shared" si="5"/>
        <v>890.05136421174018</v>
      </c>
      <c r="H33" s="447">
        <f t="shared" si="6"/>
        <v>21964.097000000002</v>
      </c>
      <c r="K33"/>
      <c r="L33" t="s">
        <v>617</v>
      </c>
      <c r="M33" s="540">
        <v>175827</v>
      </c>
      <c r="N33" s="540">
        <v>18.66</v>
      </c>
      <c r="O33" s="540">
        <v>27393</v>
      </c>
      <c r="P33" s="540">
        <v>43.12</v>
      </c>
      <c r="Q33" s="540">
        <v>152846</v>
      </c>
      <c r="R33" s="540">
        <v>19.899999999999999</v>
      </c>
    </row>
    <row r="34" spans="2:18" s="23" customFormat="1" x14ac:dyDescent="0.2">
      <c r="B34" s="441"/>
      <c r="C34" s="431" t="s">
        <v>122</v>
      </c>
      <c r="D34" s="432">
        <v>12454.168</v>
      </c>
      <c r="E34" s="434">
        <v>34734.864999999998</v>
      </c>
      <c r="F34" s="439">
        <v>3.9261782736187372</v>
      </c>
      <c r="G34" s="446">
        <f t="shared" si="5"/>
        <v>1363.7527230007991</v>
      </c>
      <c r="H34" s="447">
        <f t="shared" si="6"/>
        <v>47189.032999999996</v>
      </c>
      <c r="K34"/>
      <c r="L34" s="450" t="s">
        <v>618</v>
      </c>
      <c r="M34" s="541">
        <v>1151804</v>
      </c>
      <c r="N34" s="541">
        <v>19.77</v>
      </c>
      <c r="O34" s="541">
        <v>824744</v>
      </c>
      <c r="P34" s="541">
        <v>26.34</v>
      </c>
      <c r="Q34" s="541">
        <v>347076</v>
      </c>
      <c r="R34" s="541">
        <v>15.96</v>
      </c>
    </row>
    <row r="35" spans="2:18" s="23" customFormat="1" x14ac:dyDescent="0.2">
      <c r="B35" s="441"/>
      <c r="C35" s="431" t="s">
        <v>123</v>
      </c>
      <c r="D35" s="432">
        <v>4159.808</v>
      </c>
      <c r="E35" s="434">
        <v>10261.851000000001</v>
      </c>
      <c r="F35" s="439">
        <v>9.263942946119359</v>
      </c>
      <c r="G35" s="446">
        <f t="shared" si="5"/>
        <v>950.65202185577903</v>
      </c>
      <c r="H35" s="447">
        <f t="shared" si="6"/>
        <v>14421.659</v>
      </c>
      <c r="K35"/>
      <c r="L35" s="450" t="s">
        <v>619</v>
      </c>
      <c r="M35" s="541">
        <v>1633574</v>
      </c>
      <c r="N35" s="541">
        <v>18.05</v>
      </c>
      <c r="O35" s="541">
        <v>1082789</v>
      </c>
      <c r="P35" s="541">
        <v>25.47</v>
      </c>
      <c r="Q35" s="541">
        <v>581200</v>
      </c>
      <c r="R35" s="541">
        <v>15.94</v>
      </c>
    </row>
    <row r="36" spans="2:18" s="23" customFormat="1" x14ac:dyDescent="0.2">
      <c r="B36" s="441"/>
      <c r="C36" s="431" t="s">
        <v>124</v>
      </c>
      <c r="D36" s="432">
        <v>1446.6690000000001</v>
      </c>
      <c r="E36" s="434">
        <v>2050.6309999999999</v>
      </c>
      <c r="F36" s="439">
        <v>24.832200596304823</v>
      </c>
      <c r="G36" s="446">
        <f t="shared" si="5"/>
        <v>509.21680341001149</v>
      </c>
      <c r="H36" s="447">
        <f t="shared" si="6"/>
        <v>3497.3</v>
      </c>
      <c r="K36"/>
      <c r="L36" s="451" t="s">
        <v>620</v>
      </c>
      <c r="M36" s="542">
        <v>2808634</v>
      </c>
      <c r="N36" s="542">
        <v>13.21</v>
      </c>
      <c r="O36" s="542">
        <v>2066007</v>
      </c>
      <c r="P36" s="542">
        <v>16.36</v>
      </c>
      <c r="Q36" s="542">
        <v>706886</v>
      </c>
      <c r="R36" s="542">
        <v>19.739999999999998</v>
      </c>
    </row>
    <row r="37" spans="2:18" s="23" customFormat="1" x14ac:dyDescent="0.2">
      <c r="B37" s="441"/>
      <c r="C37" s="431" t="s">
        <v>125</v>
      </c>
      <c r="D37" s="432">
        <v>299.97900000000004</v>
      </c>
      <c r="E37" s="434">
        <v>1440.7739999999999</v>
      </c>
      <c r="F37" s="439">
        <v>22.201553733390998</v>
      </c>
      <c r="G37" s="446">
        <f t="shared" si="5"/>
        <v>319.87421378672678</v>
      </c>
      <c r="H37" s="447">
        <f t="shared" si="6"/>
        <v>1740.7529999999999</v>
      </c>
      <c r="K37"/>
      <c r="L37" s="451" t="s">
        <v>621</v>
      </c>
      <c r="M37" s="542">
        <v>2201288</v>
      </c>
      <c r="N37" s="542">
        <v>17.05</v>
      </c>
      <c r="O37" s="542">
        <v>1470608</v>
      </c>
      <c r="P37" s="542">
        <v>23.2</v>
      </c>
      <c r="Q37" s="542">
        <v>718902</v>
      </c>
      <c r="R37" s="542">
        <v>18.97</v>
      </c>
    </row>
    <row r="38" spans="2:18" s="23" customFormat="1" x14ac:dyDescent="0.2">
      <c r="B38" s="441"/>
      <c r="C38" s="431"/>
      <c r="D38" s="432"/>
      <c r="E38" s="564"/>
      <c r="F38" s="439"/>
      <c r="G38" s="448"/>
      <c r="H38" s="449"/>
      <c r="K38"/>
      <c r="L38" t="s">
        <v>622</v>
      </c>
      <c r="M38" s="540">
        <v>2942416</v>
      </c>
      <c r="N38" s="540">
        <v>13.89</v>
      </c>
      <c r="O38" s="540">
        <v>630464</v>
      </c>
      <c r="P38" s="540">
        <v>28.05</v>
      </c>
      <c r="Q38" s="540">
        <v>2299344</v>
      </c>
      <c r="R38" s="540">
        <v>16.12</v>
      </c>
    </row>
    <row r="39" spans="2:18" s="23" customFormat="1" x14ac:dyDescent="0.2">
      <c r="B39" s="441" t="s">
        <v>105</v>
      </c>
      <c r="C39" s="431" t="s">
        <v>119</v>
      </c>
      <c r="D39" s="432">
        <v>0.187</v>
      </c>
      <c r="E39" s="434">
        <v>169.47300000000001</v>
      </c>
      <c r="F39" s="439">
        <v>15.895685118823083</v>
      </c>
      <c r="G39" s="446">
        <f>E39*F39/100</f>
        <v>26.938894441423045</v>
      </c>
      <c r="H39" s="447">
        <f>SUM(D39,E39)</f>
        <v>169.66000000000003</v>
      </c>
      <c r="K39"/>
      <c r="L39" t="s">
        <v>623</v>
      </c>
      <c r="M39" s="540">
        <v>1936601</v>
      </c>
      <c r="N39" s="540">
        <v>14.88</v>
      </c>
      <c r="O39" s="540">
        <v>23951</v>
      </c>
      <c r="P39" s="540">
        <v>56.5</v>
      </c>
      <c r="Q39" s="540">
        <v>1910665</v>
      </c>
      <c r="R39" s="540">
        <v>14.67</v>
      </c>
    </row>
    <row r="40" spans="2:18" s="23" customFormat="1" x14ac:dyDescent="0.2">
      <c r="B40" s="441"/>
      <c r="C40" s="431" t="s">
        <v>120</v>
      </c>
      <c r="D40" s="432">
        <v>48.951000000000001</v>
      </c>
      <c r="E40" s="434">
        <v>4295.6369999999997</v>
      </c>
      <c r="F40" s="439">
        <v>4.8977726564825526</v>
      </c>
      <c r="G40" s="446">
        <f t="shared" ref="G40:G45" si="7">E40*F40/100</f>
        <v>210.3905344077474</v>
      </c>
      <c r="H40" s="447">
        <f t="shared" ref="H40:H45" si="8">SUM(D40,E40)</f>
        <v>4344.5879999999997</v>
      </c>
      <c r="K40"/>
      <c r="L40" s="450" t="s">
        <v>624</v>
      </c>
      <c r="M40" s="541">
        <v>605878</v>
      </c>
      <c r="N40" s="541">
        <v>38.47</v>
      </c>
      <c r="O40" s="541">
        <v>0</v>
      </c>
      <c r="P40" s="541">
        <v>0</v>
      </c>
      <c r="Q40" s="541">
        <v>605523</v>
      </c>
      <c r="R40" s="541">
        <v>38.49</v>
      </c>
    </row>
    <row r="41" spans="2:18" s="23" customFormat="1" x14ac:dyDescent="0.2">
      <c r="B41" s="441"/>
      <c r="C41" s="431" t="s">
        <v>121</v>
      </c>
      <c r="D41" s="432">
        <v>347.76900000000001</v>
      </c>
      <c r="E41" s="434">
        <v>27238.983</v>
      </c>
      <c r="F41" s="439">
        <v>2.7283676964104067</v>
      </c>
      <c r="G41" s="446">
        <f t="shared" si="7"/>
        <v>743.17961300272236</v>
      </c>
      <c r="H41" s="447">
        <f t="shared" si="8"/>
        <v>27586.752</v>
      </c>
      <c r="K41"/>
      <c r="L41" s="450" t="s">
        <v>625</v>
      </c>
      <c r="M41" s="541">
        <v>44233</v>
      </c>
      <c r="N41" s="541">
        <v>55.7</v>
      </c>
      <c r="O41" s="541">
        <v>0</v>
      </c>
      <c r="P41" s="541">
        <v>0</v>
      </c>
      <c r="Q41" s="541">
        <v>44233</v>
      </c>
      <c r="R41" s="541">
        <v>55.7</v>
      </c>
    </row>
    <row r="42" spans="2:18" s="23" customFormat="1" x14ac:dyDescent="0.2">
      <c r="B42" s="441"/>
      <c r="C42" s="431" t="s">
        <v>122</v>
      </c>
      <c r="D42" s="432">
        <v>1874.788</v>
      </c>
      <c r="E42" s="434">
        <v>33040.970999999998</v>
      </c>
      <c r="F42" s="439">
        <v>3.3428478618631177</v>
      </c>
      <c r="G42" s="446">
        <f t="shared" si="7"/>
        <v>1104.5093926123127</v>
      </c>
      <c r="H42" s="447">
        <f t="shared" si="8"/>
        <v>34915.758999999998</v>
      </c>
      <c r="K42"/>
      <c r="L42" s="450" t="s">
        <v>626</v>
      </c>
      <c r="M42" s="541">
        <v>10035</v>
      </c>
      <c r="N42" s="541">
        <v>101.43</v>
      </c>
      <c r="O42" s="541">
        <v>0</v>
      </c>
      <c r="P42" s="541">
        <v>0</v>
      </c>
      <c r="Q42" s="541">
        <v>9806</v>
      </c>
      <c r="R42" s="541">
        <v>100.85</v>
      </c>
    </row>
    <row r="43" spans="2:18" s="23" customFormat="1" x14ac:dyDescent="0.2">
      <c r="B43" s="441"/>
      <c r="C43" s="431" t="s">
        <v>123</v>
      </c>
      <c r="D43" s="432">
        <v>2368.13</v>
      </c>
      <c r="E43" s="434">
        <v>37756.480000000003</v>
      </c>
      <c r="F43" s="439">
        <v>3.8165805123668273</v>
      </c>
      <c r="G43" s="446">
        <f t="shared" si="7"/>
        <v>1441.0064578356789</v>
      </c>
      <c r="H43" s="447">
        <f t="shared" si="8"/>
        <v>40124.61</v>
      </c>
    </row>
    <row r="44" spans="2:18" s="23" customFormat="1" x14ac:dyDescent="0.2">
      <c r="B44" s="441"/>
      <c r="C44" s="431" t="s">
        <v>124</v>
      </c>
      <c r="D44" s="432">
        <v>845.56700000000001</v>
      </c>
      <c r="E44" s="434">
        <v>40434.932000000001</v>
      </c>
      <c r="F44" s="439">
        <v>4.3670748797952124</v>
      </c>
      <c r="G44" s="446">
        <f t="shared" si="7"/>
        <v>1765.8237580342759</v>
      </c>
      <c r="H44" s="447">
        <f t="shared" si="8"/>
        <v>41280.499000000003</v>
      </c>
      <c r="L44" s="431" t="s">
        <v>121</v>
      </c>
      <c r="M44" s="346">
        <f>SUM(M34:M35)</f>
        <v>2785378</v>
      </c>
      <c r="N44" s="23">
        <f>IF(SUM(M34:M35)=0,0,SQRT(SUMSQ(M34*N34,M35*N35))/SUM(M34:M35))</f>
        <v>13.375280313627293</v>
      </c>
      <c r="O44" s="346">
        <f>SUM(O34:O35)</f>
        <v>1907533</v>
      </c>
      <c r="P44" s="23">
        <f>IF(SUM(O34:O35)=0,0,SQRT(SUMSQ(O34*P34,O35*P35))/SUM(O34:O35))</f>
        <v>18.404409687218603</v>
      </c>
      <c r="Q44" s="346">
        <f>SUM(Q34:Q35)</f>
        <v>928276</v>
      </c>
      <c r="R44" s="23">
        <f>IF(SUM(Q34:Q35)=0,0,SQRT(SUMSQ(Q34*R34,Q35*R35))/SUM(Q34:Q35))</f>
        <v>11.628084380997972</v>
      </c>
    </row>
    <row r="45" spans="2:18" s="23" customFormat="1" x14ac:dyDescent="0.2">
      <c r="B45" s="441"/>
      <c r="C45" s="431" t="s">
        <v>125</v>
      </c>
      <c r="D45" s="432">
        <v>3275.5749999999998</v>
      </c>
      <c r="E45" s="434">
        <v>26244.654999999999</v>
      </c>
      <c r="F45" s="439">
        <v>6.3772828108622477</v>
      </c>
      <c r="G45" s="446">
        <f t="shared" si="7"/>
        <v>1673.6958720850994</v>
      </c>
      <c r="H45" s="447">
        <f t="shared" si="8"/>
        <v>29520.23</v>
      </c>
      <c r="L45" s="431" t="s">
        <v>122</v>
      </c>
      <c r="M45" s="346">
        <f>SUM(M36:M37)</f>
        <v>5009922</v>
      </c>
      <c r="N45" s="23">
        <f>IF(SUM(M36:M37)=0,0,SQRT(SUMSQ(M36*N36,M37*N37))/SUM(M36:M37))</f>
        <v>10.534114903087275</v>
      </c>
      <c r="O45" s="346">
        <f>SUM(O36:O37)</f>
        <v>3536615</v>
      </c>
      <c r="P45" s="23">
        <f>IF(SUM(O36:O37)=0,0,SQRT(SUMSQ(O36*P36,O37*P37))/SUM(O36:O37))</f>
        <v>13.579592768850668</v>
      </c>
      <c r="Q45" s="346">
        <f>SUM(Q36:Q37)</f>
        <v>1425788</v>
      </c>
      <c r="R45" s="23">
        <f>IF(SUM(Q36:Q37)=0,0,SQRT(SUMSQ(Q36*R36,Q37*R37))/SUM(Q36:Q37))</f>
        <v>13.684656882766685</v>
      </c>
    </row>
    <row r="46" spans="2:18" s="23" customFormat="1" x14ac:dyDescent="0.2">
      <c r="B46" s="441"/>
      <c r="C46" s="431"/>
      <c r="D46" s="432"/>
      <c r="E46" s="564"/>
      <c r="F46" s="439"/>
      <c r="G46" s="448"/>
      <c r="H46" s="449"/>
      <c r="L46" s="431" t="s">
        <v>125</v>
      </c>
      <c r="M46" s="346">
        <f>SUM(M40:M42)</f>
        <v>660146</v>
      </c>
      <c r="N46" s="23">
        <f>IF(SUM(M40:M42)=0,0,SQRT(SUMSQ(M40*N40,M41*N41,M42*N42))/SUM(M40:M42))</f>
        <v>35.537702634032151</v>
      </c>
      <c r="O46" s="346">
        <f>SUM(O40:O42)</f>
        <v>0</v>
      </c>
      <c r="P46" s="23">
        <f>IF(SUM(O40:O42)=0,0,SQRT(SUMSQ(O40*P40,O41*P41,O42*P42))/SUM(O40:O42))</f>
        <v>0</v>
      </c>
      <c r="Q46" s="346">
        <f>SUM(Q40:Q42)</f>
        <v>659562</v>
      </c>
      <c r="R46" s="23">
        <f>IF(SUM(Q40:Q42)=0,0,SQRT(SUMSQ(Q40*R40,Q41*R41,Q42*R42))/SUM(Q40:Q42))</f>
        <v>35.564964410922556</v>
      </c>
    </row>
    <row r="47" spans="2:18" s="23" customFormat="1" x14ac:dyDescent="0.2">
      <c r="B47" s="441" t="s">
        <v>106</v>
      </c>
      <c r="C47" s="431" t="s">
        <v>119</v>
      </c>
      <c r="D47" s="432">
        <v>5.3120000000000003</v>
      </c>
      <c r="E47" s="434">
        <v>172.727</v>
      </c>
      <c r="F47" s="439">
        <v>15.625237423616307</v>
      </c>
      <c r="G47" s="446">
        <f>E47*F47/100</f>
        <v>26.989003844689737</v>
      </c>
      <c r="H47" s="447">
        <f>SUM(D47,E47)</f>
        <v>178.03900000000002</v>
      </c>
    </row>
    <row r="48" spans="2:18" s="23" customFormat="1" x14ac:dyDescent="0.2">
      <c r="B48" s="441"/>
      <c r="C48" s="431" t="s">
        <v>120</v>
      </c>
      <c r="D48" s="432">
        <v>742.74199999999996</v>
      </c>
      <c r="E48" s="434">
        <v>4775.5630000000001</v>
      </c>
      <c r="F48" s="439">
        <v>4.7437423305415898</v>
      </c>
      <c r="G48" s="446">
        <f t="shared" ref="G48:G53" si="9">E48*F48/100</f>
        <v>226.54040355268185</v>
      </c>
      <c r="H48" s="447">
        <f t="shared" ref="H48:H53" si="10">SUM(D48,E48)</f>
        <v>5518.3050000000003</v>
      </c>
    </row>
    <row r="49" spans="2:8" s="23" customFormat="1" x14ac:dyDescent="0.2">
      <c r="B49" s="441"/>
      <c r="C49" s="431" t="s">
        <v>121</v>
      </c>
      <c r="D49" s="432">
        <v>7664.1930000000002</v>
      </c>
      <c r="E49" s="434">
        <v>41916.129999999997</v>
      </c>
      <c r="F49" s="439">
        <v>2.8508436880943364</v>
      </c>
      <c r="G49" s="446">
        <f t="shared" si="9"/>
        <v>1194.9633463984164</v>
      </c>
      <c r="H49" s="447">
        <f t="shared" si="10"/>
        <v>49580.322999999997</v>
      </c>
    </row>
    <row r="50" spans="2:8" s="23" customFormat="1" x14ac:dyDescent="0.2">
      <c r="B50" s="441"/>
      <c r="C50" s="431" t="s">
        <v>122</v>
      </c>
      <c r="D50" s="432">
        <v>14328.955</v>
      </c>
      <c r="E50" s="434">
        <v>67647.819000000003</v>
      </c>
      <c r="F50" s="439">
        <v>2.6224114330640562</v>
      </c>
      <c r="G50" s="446">
        <f t="shared" si="9"/>
        <v>1774.0041396744791</v>
      </c>
      <c r="H50" s="447">
        <f t="shared" si="10"/>
        <v>81976.774000000005</v>
      </c>
    </row>
    <row r="51" spans="2:8" s="23" customFormat="1" x14ac:dyDescent="0.2">
      <c r="B51" s="441"/>
      <c r="C51" s="431" t="s">
        <v>123</v>
      </c>
      <c r="D51" s="432">
        <v>6527.9380000000001</v>
      </c>
      <c r="E51" s="434">
        <v>48086.010999999999</v>
      </c>
      <c r="F51" s="439">
        <v>3.6292060030289583</v>
      </c>
      <c r="G51" s="446">
        <f t="shared" si="9"/>
        <v>1745.1403978291651</v>
      </c>
      <c r="H51" s="447">
        <f t="shared" si="10"/>
        <v>54613.949000000001</v>
      </c>
    </row>
    <row r="52" spans="2:8" s="23" customFormat="1" x14ac:dyDescent="0.2">
      <c r="B52" s="441"/>
      <c r="C52" s="431" t="s">
        <v>124</v>
      </c>
      <c r="D52" s="432">
        <v>2292.2339999999999</v>
      </c>
      <c r="E52" s="434">
        <v>42510.186000000002</v>
      </c>
      <c r="F52" s="439">
        <v>4.3383175044066284</v>
      </c>
      <c r="G52" s="446">
        <f t="shared" si="9"/>
        <v>1844.226840393816</v>
      </c>
      <c r="H52" s="447">
        <f t="shared" si="10"/>
        <v>44802.42</v>
      </c>
    </row>
    <row r="53" spans="2:8" s="23" customFormat="1" ht="13.5" thickBot="1" x14ac:dyDescent="0.25">
      <c r="B53" s="297"/>
      <c r="C53" s="437" t="s">
        <v>125</v>
      </c>
      <c r="D53" s="440">
        <v>3575.5569999999998</v>
      </c>
      <c r="E53" s="440">
        <v>27613.785</v>
      </c>
      <c r="F53" s="438">
        <v>6.2501796391564692</v>
      </c>
      <c r="G53" s="336">
        <f t="shared" si="9"/>
        <v>1725.9111676704433</v>
      </c>
      <c r="H53" s="344">
        <f t="shared" si="10"/>
        <v>31189.342000000001</v>
      </c>
    </row>
    <row r="54" spans="2:8" s="23" customFormat="1" x14ac:dyDescent="0.2">
      <c r="C54" s="24"/>
      <c r="D54" s="276"/>
      <c r="E54" s="565"/>
      <c r="F54" s="24"/>
      <c r="G54" s="24"/>
    </row>
    <row r="55" spans="2:8" s="23" customFormat="1" x14ac:dyDescent="0.2"/>
    <row r="56" spans="2:8" s="23" customFormat="1" ht="15" x14ac:dyDescent="0.2">
      <c r="B56" s="992" t="s">
        <v>706</v>
      </c>
      <c r="C56" s="993"/>
      <c r="D56" s="993"/>
      <c r="E56" s="993"/>
      <c r="F56" s="993"/>
      <c r="G56" s="993"/>
      <c r="H56" s="993"/>
    </row>
    <row r="57" spans="2:8" s="23" customFormat="1" ht="25.5" x14ac:dyDescent="0.2">
      <c r="B57" s="286"/>
      <c r="C57" s="539" t="s">
        <v>710</v>
      </c>
      <c r="D57" s="445" t="s">
        <v>78</v>
      </c>
      <c r="E57" s="445" t="s">
        <v>309</v>
      </c>
      <c r="F57" s="445" t="s">
        <v>82</v>
      </c>
      <c r="G57" s="445" t="s">
        <v>310</v>
      </c>
      <c r="H57" s="445" t="s">
        <v>486</v>
      </c>
    </row>
    <row r="58" spans="2:8" s="23" customFormat="1" x14ac:dyDescent="0.2">
      <c r="B58" s="441" t="s">
        <v>92</v>
      </c>
      <c r="C58" s="431" t="s">
        <v>127</v>
      </c>
      <c r="D58" s="432">
        <v>2.2949999999999999</v>
      </c>
      <c r="E58" s="434">
        <v>5.2270000000000003</v>
      </c>
      <c r="F58" s="439">
        <v>33.460036797605817</v>
      </c>
      <c r="G58" s="446">
        <f>E58*F58/100</f>
        <v>1.7489561234108562</v>
      </c>
      <c r="H58" s="447">
        <f t="shared" ref="H58:H86" si="11">SUM(D58,E58)</f>
        <v>7.5220000000000002</v>
      </c>
    </row>
    <row r="59" spans="2:8" s="23" customFormat="1" x14ac:dyDescent="0.2">
      <c r="B59" s="441"/>
      <c r="C59" s="431" t="s">
        <v>128</v>
      </c>
      <c r="D59" s="432">
        <v>139.02099999999999</v>
      </c>
      <c r="E59" s="434">
        <v>242.102</v>
      </c>
      <c r="F59" s="439">
        <v>14.01054431294787</v>
      </c>
      <c r="G59" s="446">
        <f t="shared" ref="G59:G66" si="12">E59*F59/100</f>
        <v>33.919807992533052</v>
      </c>
      <c r="H59" s="447">
        <f t="shared" si="11"/>
        <v>381.12299999999999</v>
      </c>
    </row>
    <row r="60" spans="2:8" s="23" customFormat="1" x14ac:dyDescent="0.2">
      <c r="B60" s="441"/>
      <c r="C60" s="431" t="s">
        <v>129</v>
      </c>
      <c r="D60" s="432">
        <v>2427.3470000000002</v>
      </c>
      <c r="E60" s="434">
        <v>1615.317</v>
      </c>
      <c r="F60" s="439">
        <v>11.084859022130575</v>
      </c>
      <c r="G60" s="446">
        <f t="shared" si="12"/>
        <v>179.05561221050891</v>
      </c>
      <c r="H60" s="447">
        <f t="shared" si="11"/>
        <v>4042.6640000000002</v>
      </c>
    </row>
    <row r="61" spans="2:8" s="23" customFormat="1" x14ac:dyDescent="0.2">
      <c r="B61" s="441"/>
      <c r="C61" s="431" t="s">
        <v>130</v>
      </c>
      <c r="D61" s="432">
        <v>5411.5910000000003</v>
      </c>
      <c r="E61" s="434">
        <v>4920.7839999999997</v>
      </c>
      <c r="F61" s="439">
        <v>7.8924180336362353</v>
      </c>
      <c r="G61" s="446">
        <f t="shared" si="12"/>
        <v>388.36884381228646</v>
      </c>
      <c r="H61" s="447">
        <f t="shared" si="11"/>
        <v>10332.375</v>
      </c>
    </row>
    <row r="62" spans="2:8" s="23" customFormat="1" x14ac:dyDescent="0.2">
      <c r="B62" s="441"/>
      <c r="C62" s="431" t="s">
        <v>131</v>
      </c>
      <c r="D62" s="432">
        <v>7543.76</v>
      </c>
      <c r="E62" s="434">
        <v>18811.916000000001</v>
      </c>
      <c r="F62" s="439">
        <v>5.0152401686211583</v>
      </c>
      <c r="G62" s="446">
        <f t="shared" si="12"/>
        <v>943.4627677192708</v>
      </c>
      <c r="H62" s="447">
        <f t="shared" si="11"/>
        <v>26355.675999999999</v>
      </c>
    </row>
    <row r="63" spans="2:8" s="23" customFormat="1" x14ac:dyDescent="0.2">
      <c r="B63" s="441"/>
      <c r="C63" s="431" t="s">
        <v>132</v>
      </c>
      <c r="D63" s="432">
        <v>5528.2910000000002</v>
      </c>
      <c r="E63" s="434">
        <v>19182.626</v>
      </c>
      <c r="F63" s="439">
        <v>4.7813257437508323</v>
      </c>
      <c r="G63" s="446">
        <f t="shared" si="12"/>
        <v>917.18383526544062</v>
      </c>
      <c r="H63" s="447">
        <f t="shared" si="11"/>
        <v>24710.917000000001</v>
      </c>
    </row>
    <row r="64" spans="2:8" s="23" customFormat="1" x14ac:dyDescent="0.2">
      <c r="B64" s="441"/>
      <c r="C64" s="431" t="s">
        <v>133</v>
      </c>
      <c r="D64" s="432">
        <v>4748.2879999999996</v>
      </c>
      <c r="E64" s="434">
        <v>15026.465</v>
      </c>
      <c r="F64" s="439">
        <v>6.8256925660673984</v>
      </c>
      <c r="G64" s="446">
        <f t="shared" si="12"/>
        <v>1025.6603044477195</v>
      </c>
      <c r="H64" s="447">
        <f t="shared" si="11"/>
        <v>19774.753000000001</v>
      </c>
    </row>
    <row r="65" spans="2:8" s="23" customFormat="1" x14ac:dyDescent="0.2">
      <c r="B65" s="441"/>
      <c r="C65" s="431" t="s">
        <v>134</v>
      </c>
      <c r="D65" s="432">
        <v>482.76299999999998</v>
      </c>
      <c r="E65" s="434">
        <v>2031.1420000000001</v>
      </c>
      <c r="F65" s="439">
        <v>22.690077140374562</v>
      </c>
      <c r="G65" s="446">
        <f t="shared" si="12"/>
        <v>460.86768663054664</v>
      </c>
      <c r="H65" s="447">
        <f t="shared" si="11"/>
        <v>2513.9050000000002</v>
      </c>
    </row>
    <row r="66" spans="2:8" s="23" customFormat="1" x14ac:dyDescent="0.2">
      <c r="B66" s="441"/>
      <c r="C66" s="431" t="s">
        <v>135</v>
      </c>
      <c r="D66" s="432">
        <v>92.611999999999995</v>
      </c>
      <c r="E66" s="434">
        <v>1783.97</v>
      </c>
      <c r="F66" s="439">
        <v>20.236127285727257</v>
      </c>
      <c r="G66" s="446">
        <f t="shared" si="12"/>
        <v>361.00643993918857</v>
      </c>
      <c r="H66" s="447">
        <f t="shared" si="11"/>
        <v>1876.5820000000001</v>
      </c>
    </row>
    <row r="67" spans="2:8" s="23" customFormat="1" x14ac:dyDescent="0.2">
      <c r="B67" s="441"/>
      <c r="C67" s="431"/>
      <c r="D67" s="432"/>
      <c r="E67" s="434"/>
      <c r="F67" s="439"/>
      <c r="G67" s="434"/>
      <c r="H67" s="443"/>
    </row>
    <row r="68" spans="2:8" s="23" customFormat="1" x14ac:dyDescent="0.2">
      <c r="B68" s="441" t="s">
        <v>105</v>
      </c>
      <c r="C68" s="431" t="s">
        <v>127</v>
      </c>
      <c r="D68" s="432">
        <v>15.93</v>
      </c>
      <c r="E68" s="434">
        <v>538.80200000000002</v>
      </c>
      <c r="F68" s="439">
        <v>6.0976887796185695</v>
      </c>
      <c r="G68" s="446">
        <f t="shared" ref="G68:G76" si="13">E68*F68/100</f>
        <v>32.854469098360447</v>
      </c>
      <c r="H68" s="447">
        <f t="shared" si="11"/>
        <v>554.73199999999997</v>
      </c>
    </row>
    <row r="69" spans="2:8" s="23" customFormat="1" x14ac:dyDescent="0.2">
      <c r="B69" s="441"/>
      <c r="C69" s="431" t="s">
        <v>128</v>
      </c>
      <c r="D69" s="432">
        <v>203.191</v>
      </c>
      <c r="E69" s="434">
        <v>5505.3019999999997</v>
      </c>
      <c r="F69" s="439">
        <v>2.7623872945213512</v>
      </c>
      <c r="G69" s="446">
        <f t="shared" si="13"/>
        <v>152.07776297302985</v>
      </c>
      <c r="H69" s="447">
        <f t="shared" si="11"/>
        <v>5708.4929999999995</v>
      </c>
    </row>
    <row r="70" spans="2:8" s="23" customFormat="1" x14ac:dyDescent="0.2">
      <c r="B70" s="441"/>
      <c r="C70" s="431" t="s">
        <v>129</v>
      </c>
      <c r="D70" s="432">
        <v>894.41200000000003</v>
      </c>
      <c r="E70" s="434">
        <v>13052.005999999999</v>
      </c>
      <c r="F70" s="439">
        <v>3.1007803961298279</v>
      </c>
      <c r="G70" s="446">
        <f t="shared" si="13"/>
        <v>404.71404334968889</v>
      </c>
      <c r="H70" s="447">
        <f t="shared" si="11"/>
        <v>13946.418</v>
      </c>
    </row>
    <row r="71" spans="2:8" s="23" customFormat="1" x14ac:dyDescent="0.2">
      <c r="B71" s="441"/>
      <c r="C71" s="431" t="s">
        <v>130</v>
      </c>
      <c r="D71" s="432">
        <v>1269.0039999999999</v>
      </c>
      <c r="E71" s="434">
        <v>14382.206</v>
      </c>
      <c r="F71" s="439">
        <v>3.7590742586174395</v>
      </c>
      <c r="G71" s="446">
        <f t="shared" si="13"/>
        <v>540.63780356733287</v>
      </c>
      <c r="H71" s="447">
        <f t="shared" si="11"/>
        <v>15651.21</v>
      </c>
    </row>
    <row r="72" spans="2:8" s="23" customFormat="1" x14ac:dyDescent="0.2">
      <c r="B72" s="441"/>
      <c r="C72" s="431" t="s">
        <v>131</v>
      </c>
      <c r="D72" s="432">
        <v>3366.8960000000002</v>
      </c>
      <c r="E72" s="434">
        <v>29525.295999999998</v>
      </c>
      <c r="F72" s="439">
        <v>2.9706112436910543</v>
      </c>
      <c r="G72" s="446">
        <f t="shared" si="13"/>
        <v>877.08176270906506</v>
      </c>
      <c r="H72" s="447">
        <f t="shared" si="11"/>
        <v>32892.191999999995</v>
      </c>
    </row>
    <row r="73" spans="2:8" s="23" customFormat="1" x14ac:dyDescent="0.2">
      <c r="B73" s="441"/>
      <c r="C73" s="431" t="s">
        <v>132</v>
      </c>
      <c r="D73" s="432">
        <v>2015.145</v>
      </c>
      <c r="E73" s="434">
        <v>26225.871999999999</v>
      </c>
      <c r="F73" s="439">
        <v>3.9926082681077606</v>
      </c>
      <c r="G73" s="446">
        <f t="shared" si="13"/>
        <v>1047.0963338553581</v>
      </c>
      <c r="H73" s="447">
        <f t="shared" si="11"/>
        <v>28241.017</v>
      </c>
    </row>
    <row r="74" spans="2:8" s="23" customFormat="1" x14ac:dyDescent="0.2">
      <c r="B74" s="441"/>
      <c r="C74" s="431" t="s">
        <v>133</v>
      </c>
      <c r="D74" s="432">
        <v>813.71400000000006</v>
      </c>
      <c r="E74" s="434">
        <v>39663.307999999997</v>
      </c>
      <c r="F74" s="439">
        <v>3.7497288079995945</v>
      </c>
      <c r="G74" s="446">
        <f t="shared" si="13"/>
        <v>1487.2664862816077</v>
      </c>
      <c r="H74" s="447">
        <f t="shared" si="11"/>
        <v>40477.021999999997</v>
      </c>
    </row>
    <row r="75" spans="2:8" s="23" customFormat="1" x14ac:dyDescent="0.2">
      <c r="B75" s="441"/>
      <c r="C75" s="431" t="s">
        <v>134</v>
      </c>
      <c r="D75" s="432">
        <v>147.72900000000001</v>
      </c>
      <c r="E75" s="434">
        <v>21990.748</v>
      </c>
      <c r="F75" s="439">
        <v>5.8867197329828427</v>
      </c>
      <c r="G75" s="446">
        <f t="shared" si="13"/>
        <v>1294.5337019465298</v>
      </c>
      <c r="H75" s="447">
        <f t="shared" si="11"/>
        <v>22138.476999999999</v>
      </c>
    </row>
    <row r="76" spans="2:8" s="23" customFormat="1" x14ac:dyDescent="0.2">
      <c r="B76" s="441"/>
      <c r="C76" s="431" t="s">
        <v>135</v>
      </c>
      <c r="D76" s="432">
        <v>34.942999999999998</v>
      </c>
      <c r="E76" s="434">
        <v>18297.591</v>
      </c>
      <c r="F76" s="439">
        <v>8.4310172916456043</v>
      </c>
      <c r="G76" s="446">
        <f t="shared" si="13"/>
        <v>1542.6730611645899</v>
      </c>
      <c r="H76" s="447">
        <f t="shared" si="11"/>
        <v>18332.534</v>
      </c>
    </row>
    <row r="77" spans="2:8" s="23" customFormat="1" x14ac:dyDescent="0.2">
      <c r="B77" s="441"/>
      <c r="C77" s="431"/>
      <c r="D77" s="432"/>
      <c r="E77" s="434"/>
      <c r="F77" s="439"/>
      <c r="G77" s="434"/>
      <c r="H77" s="443"/>
    </row>
    <row r="78" spans="2:8" s="23" customFormat="1" x14ac:dyDescent="0.2">
      <c r="B78" s="441" t="s">
        <v>106</v>
      </c>
      <c r="C78" s="431" t="s">
        <v>127</v>
      </c>
      <c r="D78" s="432">
        <v>18.222000000000001</v>
      </c>
      <c r="E78" s="434">
        <v>544.46699999999998</v>
      </c>
      <c r="F78" s="439">
        <v>6.0420924291910243</v>
      </c>
      <c r="G78" s="446">
        <f t="shared" ref="G78:G86" si="14">E78*F78/100</f>
        <v>32.897199386443496</v>
      </c>
      <c r="H78" s="447">
        <f t="shared" si="11"/>
        <v>562.68899999999996</v>
      </c>
    </row>
    <row r="79" spans="2:8" s="23" customFormat="1" x14ac:dyDescent="0.2">
      <c r="B79" s="441"/>
      <c r="C79" s="431" t="s">
        <v>128</v>
      </c>
      <c r="D79" s="432">
        <v>342.21</v>
      </c>
      <c r="E79" s="434">
        <v>5754.1930000000002</v>
      </c>
      <c r="F79" s="439">
        <v>2.7074548401088805</v>
      </c>
      <c r="G79" s="446">
        <f t="shared" si="14"/>
        <v>155.7921768877064</v>
      </c>
      <c r="H79" s="447">
        <f t="shared" si="11"/>
        <v>6096.4030000000002</v>
      </c>
    </row>
    <row r="80" spans="2:8" s="23" customFormat="1" x14ac:dyDescent="0.2">
      <c r="B80" s="441"/>
      <c r="C80" s="431" t="s">
        <v>129</v>
      </c>
      <c r="D80" s="432">
        <v>3321.7579999999998</v>
      </c>
      <c r="E80" s="434">
        <v>14693.807000000001</v>
      </c>
      <c r="F80" s="439">
        <v>3.0056902916469896</v>
      </c>
      <c r="G80" s="446">
        <f t="shared" si="14"/>
        <v>441.65033047234579</v>
      </c>
      <c r="H80" s="447">
        <f t="shared" si="11"/>
        <v>18015.565000000002</v>
      </c>
    </row>
    <row r="81" spans="2:8" s="23" customFormat="1" x14ac:dyDescent="0.2">
      <c r="B81" s="441"/>
      <c r="C81" s="431" t="s">
        <v>130</v>
      </c>
      <c r="D81" s="432">
        <v>6680.5969999999998</v>
      </c>
      <c r="E81" s="434">
        <v>19341.521000000001</v>
      </c>
      <c r="F81" s="439">
        <v>3.4679015597649117</v>
      </c>
      <c r="G81" s="446">
        <f t="shared" si="14"/>
        <v>670.74490844125796</v>
      </c>
      <c r="H81" s="447">
        <f t="shared" si="11"/>
        <v>26022.118000000002</v>
      </c>
    </row>
    <row r="82" spans="2:8" s="23" customFormat="1" x14ac:dyDescent="0.2">
      <c r="B82" s="441"/>
      <c r="C82" s="431" t="s">
        <v>131</v>
      </c>
      <c r="D82" s="432">
        <v>10910.656000000001</v>
      </c>
      <c r="E82" s="434">
        <v>48189.385999999999</v>
      </c>
      <c r="F82" s="439">
        <v>2.6747782109362297</v>
      </c>
      <c r="G82" s="446">
        <f t="shared" si="14"/>
        <v>1288.9591967119538</v>
      </c>
      <c r="H82" s="447">
        <f t="shared" si="11"/>
        <v>59100.042000000001</v>
      </c>
    </row>
    <row r="83" spans="2:8" s="23" customFormat="1" x14ac:dyDescent="0.2">
      <c r="B83" s="441"/>
      <c r="C83" s="431" t="s">
        <v>132</v>
      </c>
      <c r="D83" s="432">
        <v>7543.4409999999998</v>
      </c>
      <c r="E83" s="434">
        <v>45456.646999999997</v>
      </c>
      <c r="F83" s="439">
        <v>3.0573139668486378</v>
      </c>
      <c r="G83" s="446">
        <f t="shared" si="14"/>
        <v>1389.7524175920823</v>
      </c>
      <c r="H83" s="447">
        <f t="shared" si="11"/>
        <v>53000.087999999996</v>
      </c>
    </row>
    <row r="84" spans="2:8" s="23" customFormat="1" x14ac:dyDescent="0.2">
      <c r="B84" s="441"/>
      <c r="C84" s="431" t="s">
        <v>133</v>
      </c>
      <c r="D84" s="432">
        <v>5562.0010000000002</v>
      </c>
      <c r="E84" s="434">
        <v>54686.239999999998</v>
      </c>
      <c r="F84" s="439">
        <v>3.3003509754404559</v>
      </c>
      <c r="G84" s="446">
        <f t="shared" si="14"/>
        <v>1804.8378552717086</v>
      </c>
      <c r="H84" s="447">
        <f t="shared" si="11"/>
        <v>60248.240999999995</v>
      </c>
    </row>
    <row r="85" spans="2:8" s="23" customFormat="1" x14ac:dyDescent="0.2">
      <c r="B85" s="441"/>
      <c r="C85" s="431" t="s">
        <v>134</v>
      </c>
      <c r="D85" s="432">
        <v>630.49099999999999</v>
      </c>
      <c r="E85" s="434">
        <v>23943.234</v>
      </c>
      <c r="F85" s="439">
        <v>5.7525543849095415</v>
      </c>
      <c r="G85" s="446">
        <f t="shared" si="14"/>
        <v>1377.347557356152</v>
      </c>
      <c r="H85" s="447">
        <f t="shared" si="11"/>
        <v>24573.724999999999</v>
      </c>
    </row>
    <row r="86" spans="2:8" ht="13.5" thickBot="1" x14ac:dyDescent="0.25">
      <c r="B86" s="297"/>
      <c r="C86" s="437" t="s">
        <v>135</v>
      </c>
      <c r="D86" s="440">
        <v>127.556</v>
      </c>
      <c r="E86" s="440">
        <v>20112.724999999999</v>
      </c>
      <c r="F86" s="438">
        <v>7.994898094820142</v>
      </c>
      <c r="G86" s="336">
        <f t="shared" si="14"/>
        <v>1607.9918678414144</v>
      </c>
      <c r="H86" s="344">
        <f t="shared" si="11"/>
        <v>20240.280999999999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5">
    <mergeCell ref="B3:H3"/>
    <mergeCell ref="B29:H29"/>
    <mergeCell ref="B56:H56"/>
    <mergeCell ref="J3:J4"/>
    <mergeCell ref="K3:K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3:G20"/>
  <sheetViews>
    <sheetView workbookViewId="0"/>
  </sheetViews>
  <sheetFormatPr defaultRowHeight="12.75" x14ac:dyDescent="0.2"/>
  <cols>
    <col min="1" max="1" width="9" style="369"/>
    <col min="2" max="7" width="20.625" style="369" customWidth="1"/>
    <col min="8" max="16384" width="9" style="369"/>
  </cols>
  <sheetData>
    <row r="3" spans="2:7" x14ac:dyDescent="0.2">
      <c r="B3" s="373" t="s">
        <v>568</v>
      </c>
    </row>
    <row r="4" spans="2:7" ht="13.5" thickBot="1" x14ac:dyDescent="0.25"/>
    <row r="5" spans="2:7" x14ac:dyDescent="0.2">
      <c r="B5" s="387" t="s">
        <v>569</v>
      </c>
      <c r="C5" s="1026" t="s">
        <v>172</v>
      </c>
      <c r="D5" s="1027"/>
      <c r="E5" s="1027"/>
      <c r="F5" s="1027"/>
      <c r="G5" s="1028"/>
    </row>
    <row r="6" spans="2:7" ht="25.5" x14ac:dyDescent="0.2">
      <c r="B6" s="390" t="s">
        <v>575</v>
      </c>
      <c r="C6" s="388" t="s">
        <v>571</v>
      </c>
      <c r="D6" s="388" t="s">
        <v>572</v>
      </c>
      <c r="E6" s="388" t="s">
        <v>573</v>
      </c>
      <c r="F6" s="389" t="s">
        <v>574</v>
      </c>
      <c r="G6" s="391" t="s">
        <v>576</v>
      </c>
    </row>
    <row r="7" spans="2:7" x14ac:dyDescent="0.2">
      <c r="B7" s="392" t="str">
        <f>Index!$B$4</f>
        <v>England</v>
      </c>
      <c r="C7" s="866">
        <v>14199</v>
      </c>
      <c r="D7" s="866">
        <v>836</v>
      </c>
      <c r="E7" s="866">
        <v>138</v>
      </c>
      <c r="F7" s="866">
        <v>364</v>
      </c>
      <c r="G7" s="867">
        <v>103</v>
      </c>
    </row>
    <row r="8" spans="2:7" x14ac:dyDescent="0.2">
      <c r="B8" s="393" t="s">
        <v>501</v>
      </c>
      <c r="C8" s="868">
        <v>5686</v>
      </c>
      <c r="D8" s="869">
        <v>345</v>
      </c>
      <c r="E8" s="869">
        <v>60</v>
      </c>
      <c r="F8" s="869">
        <v>151</v>
      </c>
      <c r="G8" s="870">
        <v>21</v>
      </c>
    </row>
    <row r="9" spans="2:7" x14ac:dyDescent="0.2">
      <c r="B9" s="393" t="s">
        <v>20</v>
      </c>
      <c r="C9" s="869">
        <v>1013</v>
      </c>
      <c r="D9" s="869">
        <v>36</v>
      </c>
      <c r="E9" s="869">
        <v>13</v>
      </c>
      <c r="F9" s="869">
        <v>27</v>
      </c>
      <c r="G9" s="870">
        <v>15</v>
      </c>
    </row>
    <row r="10" spans="2:7" x14ac:dyDescent="0.2">
      <c r="B10" s="393" t="s">
        <v>502</v>
      </c>
      <c r="C10" s="869">
        <v>1937</v>
      </c>
      <c r="D10" s="869">
        <v>124</v>
      </c>
      <c r="E10" s="869">
        <v>19</v>
      </c>
      <c r="F10" s="869">
        <v>34</v>
      </c>
      <c r="G10" s="870">
        <v>13</v>
      </c>
    </row>
    <row r="11" spans="2:7" ht="13.5" thickBot="1" x14ac:dyDescent="0.25">
      <c r="B11" s="401" t="s">
        <v>503</v>
      </c>
      <c r="C11" s="871">
        <v>5563</v>
      </c>
      <c r="D11" s="871">
        <v>331</v>
      </c>
      <c r="E11" s="871">
        <v>46</v>
      </c>
      <c r="F11" s="871">
        <v>152</v>
      </c>
      <c r="G11" s="872">
        <v>54</v>
      </c>
    </row>
    <row r="13" spans="2:7" ht="13.5" thickBot="1" x14ac:dyDescent="0.25"/>
    <row r="14" spans="2:7" x14ac:dyDescent="0.2">
      <c r="B14" s="387" t="s">
        <v>577</v>
      </c>
      <c r="C14" s="1026" t="s">
        <v>172</v>
      </c>
      <c r="D14" s="1027"/>
      <c r="E14" s="1027"/>
      <c r="F14" s="1027"/>
      <c r="G14" s="1028"/>
    </row>
    <row r="15" spans="2:7" ht="25.5" x14ac:dyDescent="0.2">
      <c r="B15" s="390" t="s">
        <v>575</v>
      </c>
      <c r="C15" s="388" t="s">
        <v>571</v>
      </c>
      <c r="D15" s="388" t="s">
        <v>572</v>
      </c>
      <c r="E15" s="388" t="s">
        <v>573</v>
      </c>
      <c r="F15" s="389" t="s">
        <v>574</v>
      </c>
      <c r="G15" s="391" t="s">
        <v>576</v>
      </c>
    </row>
    <row r="16" spans="2:7" x14ac:dyDescent="0.2">
      <c r="B16" s="392" t="str">
        <f>Index!$B$4</f>
        <v>England</v>
      </c>
      <c r="C16" s="583">
        <v>0.9078644501278772</v>
      </c>
      <c r="D16" s="583">
        <v>5.3452685421994883E-2</v>
      </c>
      <c r="E16" s="583">
        <v>8.8235294117647058E-3</v>
      </c>
      <c r="F16" s="583">
        <v>2.3273657289002558E-2</v>
      </c>
      <c r="G16" s="584">
        <v>6.5856777493606142E-3</v>
      </c>
    </row>
    <row r="17" spans="2:7" x14ac:dyDescent="0.2">
      <c r="B17" s="393" t="s">
        <v>501</v>
      </c>
      <c r="C17" s="585">
        <v>0.90787162701580715</v>
      </c>
      <c r="D17" s="585">
        <v>5.5085422321571133E-2</v>
      </c>
      <c r="E17" s="585">
        <v>9.5800734472297616E-3</v>
      </c>
      <c r="F17" s="585">
        <v>2.4109851508861569E-2</v>
      </c>
      <c r="G17" s="586">
        <v>3.3530257065304166E-3</v>
      </c>
    </row>
    <row r="18" spans="2:7" x14ac:dyDescent="0.2">
      <c r="B18" s="393" t="s">
        <v>20</v>
      </c>
      <c r="C18" s="585">
        <v>0.91757246376811596</v>
      </c>
      <c r="D18" s="585">
        <v>3.2608695652173912E-2</v>
      </c>
      <c r="E18" s="585">
        <v>1.177536231884058E-2</v>
      </c>
      <c r="F18" s="585">
        <v>2.4456521739130436E-2</v>
      </c>
      <c r="G18" s="586">
        <v>1.358695652173913E-2</v>
      </c>
    </row>
    <row r="19" spans="2:7" x14ac:dyDescent="0.2">
      <c r="B19" s="393" t="s">
        <v>502</v>
      </c>
      <c r="C19" s="585">
        <v>0.91067230841560887</v>
      </c>
      <c r="D19" s="585">
        <v>5.8298072402444757E-2</v>
      </c>
      <c r="E19" s="585">
        <v>8.9327691584391161E-3</v>
      </c>
      <c r="F19" s="585">
        <v>1.5984955336154207E-2</v>
      </c>
      <c r="G19" s="586">
        <v>6.1118946873530795E-3</v>
      </c>
    </row>
    <row r="20" spans="2:7" ht="13.5" thickBot="1" x14ac:dyDescent="0.25">
      <c r="B20" s="401" t="s">
        <v>503</v>
      </c>
      <c r="C20" s="587">
        <v>0.90514155548324116</v>
      </c>
      <c r="D20" s="587">
        <v>5.3856166612430846E-2</v>
      </c>
      <c r="E20" s="587">
        <v>7.4845427920598763E-3</v>
      </c>
      <c r="F20" s="587">
        <v>2.4731532704197853E-2</v>
      </c>
      <c r="G20" s="588">
        <v>8.7862024080702893E-3</v>
      </c>
    </row>
  </sheetData>
  <mergeCells count="2">
    <mergeCell ref="C5:G5"/>
    <mergeCell ref="C14:G1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4:H20"/>
  <sheetViews>
    <sheetView workbookViewId="0"/>
  </sheetViews>
  <sheetFormatPr defaultRowHeight="12.75" x14ac:dyDescent="0.2"/>
  <cols>
    <col min="1" max="1" width="9" style="358"/>
    <col min="2" max="8" width="15.625" style="358" customWidth="1"/>
    <col min="9" max="16384" width="9" style="358"/>
  </cols>
  <sheetData>
    <row r="4" spans="2:8" ht="13.5" thickBot="1" x14ac:dyDescent="0.25"/>
    <row r="5" spans="2:8" x14ac:dyDescent="0.2">
      <c r="B5" s="395" t="s">
        <v>569</v>
      </c>
      <c r="C5" s="1029" t="s">
        <v>175</v>
      </c>
      <c r="D5" s="1027"/>
      <c r="E5" s="1027"/>
      <c r="F5" s="1027"/>
      <c r="G5" s="1027"/>
      <c r="H5" s="1028"/>
    </row>
    <row r="6" spans="2:8" ht="25.5" customHeight="1" x14ac:dyDescent="0.2">
      <c r="B6" s="396" t="s">
        <v>570</v>
      </c>
      <c r="C6" s="397" t="s">
        <v>578</v>
      </c>
      <c r="D6" s="397" t="s">
        <v>579</v>
      </c>
      <c r="E6" s="397" t="s">
        <v>580</v>
      </c>
      <c r="F6" s="397" t="s">
        <v>581</v>
      </c>
      <c r="G6" s="397" t="s">
        <v>582</v>
      </c>
      <c r="H6" s="398" t="s">
        <v>583</v>
      </c>
    </row>
    <row r="7" spans="2:8" x14ac:dyDescent="0.2">
      <c r="B7" s="392" t="str">
        <f>Index!$B$4</f>
        <v>England</v>
      </c>
      <c r="C7" s="873">
        <v>9559</v>
      </c>
      <c r="D7" s="873">
        <v>3356</v>
      </c>
      <c r="E7" s="873">
        <v>1722</v>
      </c>
      <c r="F7" s="873">
        <v>651</v>
      </c>
      <c r="G7" s="873">
        <v>233</v>
      </c>
      <c r="H7" s="874">
        <v>249</v>
      </c>
    </row>
    <row r="8" spans="2:8" x14ac:dyDescent="0.2">
      <c r="B8" s="393" t="s">
        <v>501</v>
      </c>
      <c r="C8" s="875">
        <v>3780</v>
      </c>
      <c r="D8" s="875">
        <v>1441</v>
      </c>
      <c r="E8" s="875">
        <v>667</v>
      </c>
      <c r="F8" s="875">
        <v>250</v>
      </c>
      <c r="G8" s="875">
        <v>85</v>
      </c>
      <c r="H8" s="876">
        <v>74</v>
      </c>
    </row>
    <row r="9" spans="2:8" x14ac:dyDescent="0.2">
      <c r="B9" s="393" t="s">
        <v>20</v>
      </c>
      <c r="C9" s="875">
        <v>639</v>
      </c>
      <c r="D9" s="875">
        <v>164</v>
      </c>
      <c r="E9" s="875">
        <v>221</v>
      </c>
      <c r="F9" s="875">
        <v>69</v>
      </c>
      <c r="G9" s="875">
        <v>17</v>
      </c>
      <c r="H9" s="876">
        <v>28</v>
      </c>
    </row>
    <row r="10" spans="2:8" x14ac:dyDescent="0.2">
      <c r="B10" s="393" t="s">
        <v>502</v>
      </c>
      <c r="C10" s="875">
        <v>1378</v>
      </c>
      <c r="D10" s="875">
        <v>433</v>
      </c>
      <c r="E10" s="875">
        <v>169</v>
      </c>
      <c r="F10" s="875">
        <v>83</v>
      </c>
      <c r="G10" s="875">
        <v>39</v>
      </c>
      <c r="H10" s="876">
        <v>55</v>
      </c>
    </row>
    <row r="11" spans="2:8" ht="13.5" thickBot="1" x14ac:dyDescent="0.25">
      <c r="B11" s="400" t="s">
        <v>503</v>
      </c>
      <c r="C11" s="877">
        <v>3762</v>
      </c>
      <c r="D11" s="877">
        <v>1318</v>
      </c>
      <c r="E11" s="877">
        <v>665</v>
      </c>
      <c r="F11" s="877">
        <v>249</v>
      </c>
      <c r="G11" s="877">
        <v>92</v>
      </c>
      <c r="H11" s="878">
        <v>92</v>
      </c>
    </row>
    <row r="13" spans="2:8" ht="13.5" thickBot="1" x14ac:dyDescent="0.25"/>
    <row r="14" spans="2:8" x14ac:dyDescent="0.2">
      <c r="B14" s="395" t="s">
        <v>577</v>
      </c>
      <c r="C14" s="1029" t="s">
        <v>175</v>
      </c>
      <c r="D14" s="1027"/>
      <c r="E14" s="1027"/>
      <c r="F14" s="1027"/>
      <c r="G14" s="1027"/>
      <c r="H14" s="1028"/>
    </row>
    <row r="15" spans="2:8" x14ac:dyDescent="0.2">
      <c r="B15" s="396" t="s">
        <v>570</v>
      </c>
      <c r="C15" s="397" t="s">
        <v>578</v>
      </c>
      <c r="D15" s="397" t="s">
        <v>579</v>
      </c>
      <c r="E15" s="397" t="s">
        <v>580</v>
      </c>
      <c r="F15" s="397" t="s">
        <v>581</v>
      </c>
      <c r="G15" s="397" t="s">
        <v>582</v>
      </c>
      <c r="H15" s="398" t="s">
        <v>583</v>
      </c>
    </row>
    <row r="16" spans="2:8" x14ac:dyDescent="0.2">
      <c r="B16" s="392" t="str">
        <f>Index!$B$4</f>
        <v>England</v>
      </c>
      <c r="C16" s="589">
        <v>0.60615091946734301</v>
      </c>
      <c r="D16" s="589">
        <v>0.21280913126188966</v>
      </c>
      <c r="E16" s="589">
        <v>0.10919467343056437</v>
      </c>
      <c r="F16" s="589">
        <v>4.1280913126188964E-2</v>
      </c>
      <c r="G16" s="589">
        <v>1.4774889029803425E-2</v>
      </c>
      <c r="H16" s="590">
        <v>1.5789473684210527E-2</v>
      </c>
    </row>
    <row r="17" spans="2:8" x14ac:dyDescent="0.2">
      <c r="B17" s="393" t="s">
        <v>501</v>
      </c>
      <c r="C17" s="591">
        <v>0.60028585040495475</v>
      </c>
      <c r="D17" s="591">
        <v>0.22883912974432269</v>
      </c>
      <c r="E17" s="591">
        <v>0.10592345561378434</v>
      </c>
      <c r="F17" s="591">
        <v>3.9701445132602826E-2</v>
      </c>
      <c r="G17" s="591">
        <v>1.3498491345084962E-2</v>
      </c>
      <c r="H17" s="592">
        <v>1.1751627759250437E-2</v>
      </c>
    </row>
    <row r="18" spans="2:8" x14ac:dyDescent="0.2">
      <c r="B18" s="393" t="s">
        <v>20</v>
      </c>
      <c r="C18" s="591">
        <v>0.56151142355008787</v>
      </c>
      <c r="D18" s="591">
        <v>0.14411247803163443</v>
      </c>
      <c r="E18" s="591">
        <v>0.19420035149384884</v>
      </c>
      <c r="F18" s="591">
        <v>6.0632688927943761E-2</v>
      </c>
      <c r="G18" s="591">
        <v>1.4938488576449912E-2</v>
      </c>
      <c r="H18" s="592">
        <v>2.4604569420035149E-2</v>
      </c>
    </row>
    <row r="19" spans="2:8" x14ac:dyDescent="0.2">
      <c r="B19" s="393" t="s">
        <v>502</v>
      </c>
      <c r="C19" s="591">
        <v>0.63885025498377379</v>
      </c>
      <c r="D19" s="591">
        <v>0.20074177097821047</v>
      </c>
      <c r="E19" s="591">
        <v>7.8349559573481692E-2</v>
      </c>
      <c r="F19" s="591">
        <v>3.8479369494668521E-2</v>
      </c>
      <c r="G19" s="591">
        <v>1.8080667593880391E-2</v>
      </c>
      <c r="H19" s="592">
        <v>2.5498377375985166E-2</v>
      </c>
    </row>
    <row r="20" spans="2:8" ht="13.5" thickBot="1" x14ac:dyDescent="0.25">
      <c r="B20" s="399" t="s">
        <v>503</v>
      </c>
      <c r="C20" s="593">
        <v>0.60893493039818714</v>
      </c>
      <c r="D20" s="593">
        <v>0.21333764972483005</v>
      </c>
      <c r="E20" s="593">
        <v>0.1076400129491745</v>
      </c>
      <c r="F20" s="593">
        <v>4.0304305600517967E-2</v>
      </c>
      <c r="G20" s="593">
        <v>1.4891550663645193E-2</v>
      </c>
      <c r="H20" s="594">
        <v>1.4891550663645193E-2</v>
      </c>
    </row>
  </sheetData>
  <mergeCells count="2">
    <mergeCell ref="C5:H5"/>
    <mergeCell ref="C14:H1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3:K56"/>
  <sheetViews>
    <sheetView workbookViewId="0"/>
  </sheetViews>
  <sheetFormatPr defaultRowHeight="12.75" x14ac:dyDescent="0.2"/>
  <cols>
    <col min="1" max="1" width="9" style="358"/>
    <col min="2" max="2" width="31.25" style="358" customWidth="1"/>
    <col min="3" max="3" width="46.25" style="358" bestFit="1" customWidth="1"/>
    <col min="4" max="5" width="31.25" style="358" customWidth="1"/>
    <col min="6" max="6" width="29.625" style="358" bestFit="1" customWidth="1"/>
    <col min="7" max="7" width="50.875" style="358" bestFit="1" customWidth="1"/>
    <col min="8" max="16384" width="9" style="358"/>
  </cols>
  <sheetData>
    <row r="3" spans="1:6" x14ac:dyDescent="0.2">
      <c r="A3" s="361"/>
      <c r="B3" s="361" t="s">
        <v>722</v>
      </c>
      <c r="C3" s="394"/>
    </row>
    <row r="4" spans="1:6" x14ac:dyDescent="0.2">
      <c r="A4" s="361"/>
    </row>
    <row r="5" spans="1:6" x14ac:dyDescent="0.2">
      <c r="B5" s="402" t="s">
        <v>584</v>
      </c>
    </row>
    <row r="6" spans="1:6" x14ac:dyDescent="0.2">
      <c r="B6" s="403"/>
      <c r="C6" s="404" t="s">
        <v>585</v>
      </c>
      <c r="D6" s="405" t="s">
        <v>586</v>
      </c>
      <c r="E6" s="394"/>
      <c r="F6" s="394"/>
    </row>
    <row r="7" spans="1:6" x14ac:dyDescent="0.2">
      <c r="B7" s="406" t="s">
        <v>501</v>
      </c>
      <c r="C7" s="407">
        <v>2930</v>
      </c>
      <c r="D7" s="408">
        <v>6539.7804999999998</v>
      </c>
      <c r="E7" s="394"/>
      <c r="F7" s="394"/>
    </row>
    <row r="8" spans="1:6" x14ac:dyDescent="0.2">
      <c r="B8" s="406" t="s">
        <v>20</v>
      </c>
      <c r="C8" s="407">
        <v>778</v>
      </c>
      <c r="D8" s="408">
        <v>1307.4374800000001</v>
      </c>
      <c r="E8" s="394"/>
      <c r="F8" s="394"/>
    </row>
    <row r="9" spans="1:6" x14ac:dyDescent="0.2">
      <c r="B9" s="406" t="s">
        <v>502</v>
      </c>
      <c r="C9" s="407">
        <v>1363</v>
      </c>
      <c r="D9" s="408">
        <v>2338.2226800000003</v>
      </c>
      <c r="E9" s="394"/>
      <c r="F9" s="394"/>
    </row>
    <row r="10" spans="1:6" x14ac:dyDescent="0.2">
      <c r="B10" s="409" t="s">
        <v>503</v>
      </c>
      <c r="C10" s="410">
        <v>2675</v>
      </c>
      <c r="D10" s="411">
        <v>6492.1241999999993</v>
      </c>
      <c r="E10" s="394"/>
      <c r="F10" s="394"/>
    </row>
    <row r="11" spans="1:6" x14ac:dyDescent="0.2">
      <c r="B11" s="394"/>
      <c r="C11" s="394"/>
      <c r="D11" s="394"/>
      <c r="E11" s="394"/>
      <c r="F11" s="394"/>
    </row>
    <row r="12" spans="1:6" x14ac:dyDescent="0.2">
      <c r="B12" s="412"/>
      <c r="C12" s="413" t="s">
        <v>587</v>
      </c>
      <c r="D12" s="413" t="s">
        <v>588</v>
      </c>
      <c r="E12" s="413" t="s">
        <v>589</v>
      </c>
      <c r="F12" s="413" t="s">
        <v>590</v>
      </c>
    </row>
    <row r="13" spans="1:6" x14ac:dyDescent="0.2">
      <c r="B13" s="414" t="s">
        <v>501</v>
      </c>
      <c r="C13" s="415" t="s">
        <v>591</v>
      </c>
      <c r="D13" s="358">
        <v>777</v>
      </c>
      <c r="E13" s="416">
        <v>1619.2460699999999</v>
      </c>
      <c r="F13" s="550">
        <f>IF(D$7=0,0,E13/D$7*100)</f>
        <v>24.759945230577692</v>
      </c>
    </row>
    <row r="14" spans="1:6" x14ac:dyDescent="0.2">
      <c r="B14" s="409"/>
      <c r="C14" s="410" t="s">
        <v>592</v>
      </c>
      <c r="D14" s="417">
        <f>C7-D13</f>
        <v>2153</v>
      </c>
      <c r="E14" s="418">
        <f>D7-E13</f>
        <v>4920.5344299999997</v>
      </c>
      <c r="F14" s="551">
        <f>IF(D$7=0,0,E14/D$7*100)</f>
        <v>75.240054769422301</v>
      </c>
    </row>
    <row r="15" spans="1:6" x14ac:dyDescent="0.2">
      <c r="B15" s="407"/>
      <c r="C15" s="407"/>
      <c r="D15" s="407"/>
      <c r="E15" s="419"/>
      <c r="F15" s="420"/>
    </row>
    <row r="16" spans="1:6" x14ac:dyDescent="0.2">
      <c r="B16" s="414" t="s">
        <v>20</v>
      </c>
      <c r="C16" s="415" t="s">
        <v>591</v>
      </c>
      <c r="D16" s="415">
        <v>148</v>
      </c>
      <c r="E16" s="416">
        <v>204.93256700000001</v>
      </c>
      <c r="F16" s="550">
        <f>IF(D$8=0,0,E16/D$8*100)</f>
        <v>15.67436838356508</v>
      </c>
    </row>
    <row r="17" spans="2:11" x14ac:dyDescent="0.2">
      <c r="B17" s="409"/>
      <c r="C17" s="410" t="s">
        <v>592</v>
      </c>
      <c r="D17" s="417">
        <f>C8-D16</f>
        <v>630</v>
      </c>
      <c r="E17" s="418">
        <f>D8-E16</f>
        <v>1102.504913</v>
      </c>
      <c r="F17" s="551">
        <f>IF(D$8=0,0,E17/D$8*100)</f>
        <v>84.325631616434919</v>
      </c>
    </row>
    <row r="18" spans="2:11" x14ac:dyDescent="0.2">
      <c r="B18" s="407"/>
      <c r="C18" s="407"/>
      <c r="D18" s="407"/>
      <c r="E18" s="419"/>
      <c r="F18" s="420"/>
    </row>
    <row r="19" spans="2:11" x14ac:dyDescent="0.2">
      <c r="B19" s="414" t="s">
        <v>502</v>
      </c>
      <c r="C19" s="415" t="s">
        <v>591</v>
      </c>
      <c r="D19" s="415">
        <v>364</v>
      </c>
      <c r="E19" s="416">
        <v>656.32821100000001</v>
      </c>
      <c r="F19" s="550">
        <f>IF(D$9=0,0,E19/D$9*100)</f>
        <v>28.069534035996945</v>
      </c>
    </row>
    <row r="20" spans="2:11" x14ac:dyDescent="0.2">
      <c r="B20" s="409"/>
      <c r="C20" s="410" t="s">
        <v>592</v>
      </c>
      <c r="D20" s="417">
        <f>C9-D19</f>
        <v>999</v>
      </c>
      <c r="E20" s="418">
        <f>D9-E19</f>
        <v>1681.8944690000003</v>
      </c>
      <c r="F20" s="551">
        <f>IF(D$9=0,0,E20/D$9*100)</f>
        <v>71.930465964003048</v>
      </c>
    </row>
    <row r="21" spans="2:11" x14ac:dyDescent="0.2">
      <c r="B21" s="407"/>
      <c r="C21" s="407"/>
      <c r="D21" s="407"/>
      <c r="E21" s="419"/>
      <c r="F21" s="420"/>
    </row>
    <row r="22" spans="2:11" x14ac:dyDescent="0.2">
      <c r="B22" s="414" t="s">
        <v>503</v>
      </c>
      <c r="C22" s="415" t="s">
        <v>591</v>
      </c>
      <c r="D22" s="415">
        <v>736</v>
      </c>
      <c r="E22" s="416">
        <v>1644.1588100000001</v>
      </c>
      <c r="F22" s="550">
        <f>IF(D$10=0,0,E22/D$10*100)</f>
        <v>25.325436780768921</v>
      </c>
    </row>
    <row r="23" spans="2:11" x14ac:dyDescent="0.2">
      <c r="B23" s="409"/>
      <c r="C23" s="410" t="s">
        <v>592</v>
      </c>
      <c r="D23" s="417">
        <f>C10-D22</f>
        <v>1939</v>
      </c>
      <c r="E23" s="418">
        <f>D10-E22</f>
        <v>4847.9653899999994</v>
      </c>
      <c r="F23" s="551">
        <f>IF(D$10=0,0,E23/D$10*100)</f>
        <v>74.674563219231089</v>
      </c>
    </row>
    <row r="24" spans="2:11" x14ac:dyDescent="0.2">
      <c r="B24" s="402" t="s">
        <v>593</v>
      </c>
      <c r="C24" s="407"/>
      <c r="D24" s="407"/>
      <c r="E24" s="407"/>
      <c r="F24" s="420"/>
    </row>
    <row r="25" spans="2:11" x14ac:dyDescent="0.2">
      <c r="B25" s="421"/>
      <c r="C25" s="404" t="s">
        <v>181</v>
      </c>
      <c r="D25" s="404" t="s">
        <v>588</v>
      </c>
      <c r="E25" s="404" t="s">
        <v>589</v>
      </c>
      <c r="F25" s="405" t="s">
        <v>594</v>
      </c>
      <c r="G25" s="405" t="s">
        <v>595</v>
      </c>
    </row>
    <row r="26" spans="2:11" x14ac:dyDescent="0.2">
      <c r="B26" s="414" t="s">
        <v>501</v>
      </c>
      <c r="C26" s="415" t="s">
        <v>596</v>
      </c>
      <c r="D26" s="415">
        <v>249</v>
      </c>
      <c r="E26" s="416">
        <v>710.36458999999991</v>
      </c>
      <c r="F26" s="552">
        <f>IF(D$7=0,0,E26/D$7*100)</f>
        <v>10.862208448739219</v>
      </c>
      <c r="G26" s="550">
        <f>IF(E$13=0,0,E26/E$13*100)</f>
        <v>43.870082698425193</v>
      </c>
      <c r="I26" s="358" t="s">
        <v>597</v>
      </c>
      <c r="J26" s="358">
        <v>12</v>
      </c>
      <c r="K26" s="358" t="s">
        <v>598</v>
      </c>
    </row>
    <row r="27" spans="2:11" x14ac:dyDescent="0.2">
      <c r="B27" s="406"/>
      <c r="C27" s="407" t="s">
        <v>599</v>
      </c>
      <c r="D27" s="407">
        <v>81</v>
      </c>
      <c r="E27" s="419">
        <v>175.264715</v>
      </c>
      <c r="F27" s="553">
        <f t="shared" ref="F27:F32" si="0">IF(D$7=0,0,E27/D$7*100)</f>
        <v>2.6799785558552003</v>
      </c>
      <c r="G27" s="554">
        <f t="shared" ref="G27:G32" si="1">IF(E$13=0,0,E27/E$13*100)</f>
        <v>10.823846865967692</v>
      </c>
      <c r="I27" s="358" t="s">
        <v>597</v>
      </c>
      <c r="J27" s="358">
        <v>15</v>
      </c>
      <c r="K27" s="358" t="s">
        <v>600</v>
      </c>
    </row>
    <row r="28" spans="2:11" x14ac:dyDescent="0.2">
      <c r="B28" s="406"/>
      <c r="C28" s="407" t="s">
        <v>601</v>
      </c>
      <c r="D28" s="407">
        <v>314</v>
      </c>
      <c r="E28" s="419">
        <v>541.32102399999997</v>
      </c>
      <c r="F28" s="553">
        <f t="shared" si="0"/>
        <v>8.2773576880753108</v>
      </c>
      <c r="G28" s="554">
        <f t="shared" si="1"/>
        <v>33.430436178239418</v>
      </c>
      <c r="I28" s="358" t="s">
        <v>597</v>
      </c>
      <c r="J28" s="358">
        <v>16</v>
      </c>
      <c r="K28" s="358" t="s">
        <v>602</v>
      </c>
    </row>
    <row r="29" spans="2:11" x14ac:dyDescent="0.2">
      <c r="B29" s="406"/>
      <c r="C29" s="407" t="s">
        <v>603</v>
      </c>
      <c r="D29" s="422">
        <v>11</v>
      </c>
      <c r="E29" s="419">
        <v>22.852170000000001</v>
      </c>
      <c r="F29" s="553">
        <f t="shared" si="0"/>
        <v>0.34943328755452879</v>
      </c>
      <c r="G29" s="554">
        <f t="shared" si="1"/>
        <v>1.4112845739375486</v>
      </c>
      <c r="I29" s="358" t="s">
        <v>597</v>
      </c>
      <c r="J29" s="358">
        <v>17</v>
      </c>
      <c r="K29" s="358" t="s">
        <v>604</v>
      </c>
    </row>
    <row r="30" spans="2:11" x14ac:dyDescent="0.2">
      <c r="B30" s="406"/>
      <c r="C30" s="407" t="s">
        <v>605</v>
      </c>
      <c r="D30" s="422">
        <v>217</v>
      </c>
      <c r="E30" s="419">
        <v>357.54498099999995</v>
      </c>
      <c r="F30" s="553">
        <f t="shared" si="0"/>
        <v>5.4672321341671939</v>
      </c>
      <c r="G30" s="554">
        <f t="shared" si="1"/>
        <v>22.0809540701865</v>
      </c>
      <c r="I30" s="358" t="s">
        <v>597</v>
      </c>
      <c r="J30" s="358">
        <v>18</v>
      </c>
      <c r="K30" s="358" t="s">
        <v>605</v>
      </c>
    </row>
    <row r="31" spans="2:11" x14ac:dyDescent="0.2">
      <c r="B31" s="406"/>
      <c r="C31" s="407" t="s">
        <v>606</v>
      </c>
      <c r="D31" s="422">
        <v>28</v>
      </c>
      <c r="E31" s="419">
        <v>32.678138999999994</v>
      </c>
      <c r="F31" s="553">
        <f t="shared" si="0"/>
        <v>0.49968250463452091</v>
      </c>
      <c r="G31" s="554">
        <f t="shared" si="1"/>
        <v>2.0181082792438088</v>
      </c>
      <c r="I31" s="358" t="s">
        <v>597</v>
      </c>
      <c r="J31" s="358">
        <v>19</v>
      </c>
      <c r="K31" s="358" t="s">
        <v>607</v>
      </c>
    </row>
    <row r="32" spans="2:11" x14ac:dyDescent="0.2">
      <c r="B32" s="409"/>
      <c r="C32" s="410" t="s">
        <v>608</v>
      </c>
      <c r="D32" s="410">
        <v>3</v>
      </c>
      <c r="E32" s="423">
        <v>3.0053019999999999</v>
      </c>
      <c r="F32" s="555">
        <f t="shared" si="0"/>
        <v>4.5954172315110578E-2</v>
      </c>
      <c r="G32" s="551">
        <f t="shared" si="1"/>
        <v>0.18559884477595182</v>
      </c>
      <c r="I32" s="358" t="s">
        <v>597</v>
      </c>
      <c r="J32" s="358">
        <v>20</v>
      </c>
      <c r="K32" s="358" t="s">
        <v>606</v>
      </c>
    </row>
    <row r="33" spans="2:7" x14ac:dyDescent="0.2">
      <c r="B33" s="357"/>
      <c r="C33" s="357"/>
      <c r="D33" s="357"/>
      <c r="E33" s="357"/>
      <c r="F33" s="357"/>
      <c r="G33" s="367"/>
    </row>
    <row r="34" spans="2:7" x14ac:dyDescent="0.2">
      <c r="B34" s="414" t="s">
        <v>20</v>
      </c>
      <c r="C34" s="415" t="s">
        <v>596</v>
      </c>
      <c r="D34" s="424">
        <v>32</v>
      </c>
      <c r="E34" s="425">
        <v>54.203398</v>
      </c>
      <c r="F34" s="552">
        <f>IF(D$8=0,0,E34/D$8*100)</f>
        <v>4.145773608998879</v>
      </c>
      <c r="G34" s="550">
        <f t="shared" ref="G34:G40" si="2">IF(E$16=0,0,E34/E$16*100)</f>
        <v>26.449382249723147</v>
      </c>
    </row>
    <row r="35" spans="2:7" x14ac:dyDescent="0.2">
      <c r="B35" s="426"/>
      <c r="C35" s="407" t="s">
        <v>599</v>
      </c>
      <c r="D35" s="368">
        <v>8</v>
      </c>
      <c r="E35" s="427">
        <v>16.834619</v>
      </c>
      <c r="F35" s="553">
        <f t="shared" ref="F35:F40" si="3">IF(D$8=0,0,E35/D$8*100)</f>
        <v>1.2876041307917836</v>
      </c>
      <c r="G35" s="554">
        <f t="shared" si="2"/>
        <v>8.2147114274911708</v>
      </c>
    </row>
    <row r="36" spans="2:7" x14ac:dyDescent="0.2">
      <c r="B36" s="426"/>
      <c r="C36" s="407" t="s">
        <v>601</v>
      </c>
      <c r="D36" s="368">
        <v>73</v>
      </c>
      <c r="E36" s="427">
        <v>97.278882999999979</v>
      </c>
      <c r="F36" s="553">
        <f t="shared" si="3"/>
        <v>7.4404233080422308</v>
      </c>
      <c r="G36" s="554">
        <f t="shared" si="2"/>
        <v>47.468728091421397</v>
      </c>
    </row>
    <row r="37" spans="2:7" x14ac:dyDescent="0.2">
      <c r="B37" s="426"/>
      <c r="C37" s="407" t="s">
        <v>603</v>
      </c>
      <c r="D37" s="368">
        <v>0</v>
      </c>
      <c r="E37" s="427">
        <v>0</v>
      </c>
      <c r="F37" s="553">
        <f t="shared" si="3"/>
        <v>0</v>
      </c>
      <c r="G37" s="554">
        <f t="shared" si="2"/>
        <v>0</v>
      </c>
    </row>
    <row r="38" spans="2:7" x14ac:dyDescent="0.2">
      <c r="B38" s="426"/>
      <c r="C38" s="407" t="s">
        <v>605</v>
      </c>
      <c r="D38" s="368">
        <v>42</v>
      </c>
      <c r="E38" s="427">
        <v>45.824220999999994</v>
      </c>
      <c r="F38" s="553">
        <f t="shared" si="3"/>
        <v>3.5048881266582619</v>
      </c>
      <c r="G38" s="554">
        <f t="shared" si="2"/>
        <v>22.360633876215484</v>
      </c>
    </row>
    <row r="39" spans="2:7" x14ac:dyDescent="0.2">
      <c r="B39" s="426"/>
      <c r="C39" s="407" t="s">
        <v>606</v>
      </c>
      <c r="D39" s="368">
        <v>14</v>
      </c>
      <c r="E39" s="427">
        <v>15.588892999999999</v>
      </c>
      <c r="F39" s="553">
        <f t="shared" si="3"/>
        <v>1.1923241637527475</v>
      </c>
      <c r="G39" s="554">
        <f t="shared" si="2"/>
        <v>7.6068402539455811</v>
      </c>
    </row>
    <row r="40" spans="2:7" x14ac:dyDescent="0.2">
      <c r="B40" s="428"/>
      <c r="C40" s="410" t="s">
        <v>608</v>
      </c>
      <c r="D40" s="429">
        <v>1</v>
      </c>
      <c r="E40" s="430">
        <v>1</v>
      </c>
      <c r="F40" s="555">
        <f t="shared" si="3"/>
        <v>7.6485492828307161E-2</v>
      </c>
      <c r="G40" s="551">
        <f t="shared" si="2"/>
        <v>0.48796539009829509</v>
      </c>
    </row>
    <row r="41" spans="2:7" x14ac:dyDescent="0.2">
      <c r="B41" s="357"/>
      <c r="C41" s="357"/>
      <c r="D41" s="357"/>
      <c r="E41" s="357"/>
      <c r="F41" s="357"/>
      <c r="G41" s="367"/>
    </row>
    <row r="42" spans="2:7" x14ac:dyDescent="0.2">
      <c r="B42" s="414" t="s">
        <v>502</v>
      </c>
      <c r="C42" s="415" t="s">
        <v>596</v>
      </c>
      <c r="D42" s="424">
        <v>93</v>
      </c>
      <c r="E42" s="425">
        <v>241.79305299999996</v>
      </c>
      <c r="F42" s="552">
        <f>IF(D$9=0,0,E42/D$9*100)</f>
        <v>10.340890757248147</v>
      </c>
      <c r="G42" s="550">
        <f t="shared" ref="G42:G48" si="4">IF(E$19=0,0,E42/E$19*100)</f>
        <v>36.840265121561252</v>
      </c>
    </row>
    <row r="43" spans="2:7" x14ac:dyDescent="0.2">
      <c r="B43" s="426"/>
      <c r="C43" s="407" t="s">
        <v>599</v>
      </c>
      <c r="D43" s="368">
        <v>42</v>
      </c>
      <c r="E43" s="427">
        <v>78.495913999999999</v>
      </c>
      <c r="F43" s="553">
        <f t="shared" ref="F43:F48" si="5">IF(D$9=0,0,E43/D$9*100)</f>
        <v>3.3570760677079732</v>
      </c>
      <c r="G43" s="556">
        <f t="shared" si="4"/>
        <v>11.959856773549538</v>
      </c>
    </row>
    <row r="44" spans="2:7" x14ac:dyDescent="0.2">
      <c r="B44" s="426"/>
      <c r="C44" s="407" t="s">
        <v>601</v>
      </c>
      <c r="D44" s="368">
        <v>169</v>
      </c>
      <c r="E44" s="427">
        <v>246.612009</v>
      </c>
      <c r="F44" s="553">
        <f t="shared" si="5"/>
        <v>10.546985584794685</v>
      </c>
      <c r="G44" s="556">
        <f t="shared" si="4"/>
        <v>37.574494721818382</v>
      </c>
    </row>
    <row r="45" spans="2:7" x14ac:dyDescent="0.2">
      <c r="B45" s="426"/>
      <c r="C45" s="407" t="s">
        <v>603</v>
      </c>
      <c r="D45" s="368">
        <v>4</v>
      </c>
      <c r="E45" s="427">
        <v>8.2824399999999994</v>
      </c>
      <c r="F45" s="553">
        <f t="shared" si="5"/>
        <v>0.35421947066222104</v>
      </c>
      <c r="G45" s="556">
        <f t="shared" si="4"/>
        <v>1.2619356994240187</v>
      </c>
    </row>
    <row r="46" spans="2:7" x14ac:dyDescent="0.2">
      <c r="B46" s="426"/>
      <c r="C46" s="407" t="s">
        <v>605</v>
      </c>
      <c r="D46" s="368">
        <v>96</v>
      </c>
      <c r="E46" s="427">
        <v>133.19181699999999</v>
      </c>
      <c r="F46" s="553">
        <f t="shared" si="5"/>
        <v>5.6962845386479604</v>
      </c>
      <c r="G46" s="556">
        <f t="shared" si="4"/>
        <v>20.29347737423403</v>
      </c>
    </row>
    <row r="47" spans="2:7" x14ac:dyDescent="0.2">
      <c r="B47" s="426"/>
      <c r="C47" s="407" t="s">
        <v>606</v>
      </c>
      <c r="D47" s="368">
        <v>18</v>
      </c>
      <c r="E47" s="427">
        <v>28.139087999999997</v>
      </c>
      <c r="F47" s="553">
        <f t="shared" si="5"/>
        <v>1.203439186553438</v>
      </c>
      <c r="G47" s="556">
        <f t="shared" si="4"/>
        <v>4.287350067906802</v>
      </c>
    </row>
    <row r="48" spans="2:7" x14ac:dyDescent="0.2">
      <c r="B48" s="428"/>
      <c r="C48" s="410" t="s">
        <v>608</v>
      </c>
      <c r="D48" s="429">
        <v>3</v>
      </c>
      <c r="E48" s="430">
        <v>5.5798030000000001</v>
      </c>
      <c r="F48" s="555">
        <f t="shared" si="5"/>
        <v>0.23863437164162651</v>
      </c>
      <c r="G48" s="557">
        <f t="shared" si="4"/>
        <v>0.8501543749732251</v>
      </c>
    </row>
    <row r="49" spans="2:7" x14ac:dyDescent="0.2">
      <c r="B49" s="357"/>
      <c r="C49" s="357"/>
      <c r="D49" s="357"/>
      <c r="E49" s="357"/>
      <c r="F49" s="357"/>
      <c r="G49" s="367"/>
    </row>
    <row r="50" spans="2:7" x14ac:dyDescent="0.2">
      <c r="B50" s="414" t="s">
        <v>503</v>
      </c>
      <c r="C50" s="415" t="s">
        <v>596</v>
      </c>
      <c r="D50" s="424">
        <v>274</v>
      </c>
      <c r="E50" s="425">
        <v>801.29822999999999</v>
      </c>
      <c r="F50" s="552">
        <f>IF(D$10=0,0,E50/D$10*100)</f>
        <v>12.34262015504879</v>
      </c>
      <c r="G50" s="558">
        <f t="shared" ref="G50:G56" si="6">IF(E$22=0,0,E50/E$22*100)</f>
        <v>48.73606035660265</v>
      </c>
    </row>
    <row r="51" spans="2:7" x14ac:dyDescent="0.2">
      <c r="B51" s="426"/>
      <c r="C51" s="407" t="s">
        <v>599</v>
      </c>
      <c r="D51" s="368">
        <v>92</v>
      </c>
      <c r="E51" s="427">
        <v>198.78035400000002</v>
      </c>
      <c r="F51" s="553">
        <f t="shared" ref="F51:F56" si="7">IF(D$10=0,0,E51/D$10*100)</f>
        <v>3.061869241503421</v>
      </c>
      <c r="G51" s="556">
        <f t="shared" si="6"/>
        <v>12.090094508571225</v>
      </c>
    </row>
    <row r="52" spans="2:7" x14ac:dyDescent="0.2">
      <c r="B52" s="426"/>
      <c r="C52" s="407" t="s">
        <v>601</v>
      </c>
      <c r="D52" s="368">
        <v>283</v>
      </c>
      <c r="E52" s="427">
        <v>525.40229199999999</v>
      </c>
      <c r="F52" s="553">
        <f t="shared" si="7"/>
        <v>8.0929180621652321</v>
      </c>
      <c r="G52" s="556">
        <f t="shared" si="6"/>
        <v>31.955689973768408</v>
      </c>
    </row>
    <row r="53" spans="2:7" x14ac:dyDescent="0.2">
      <c r="B53" s="426"/>
      <c r="C53" s="407" t="s">
        <v>603</v>
      </c>
      <c r="D53" s="368">
        <v>9</v>
      </c>
      <c r="E53" s="427">
        <v>20.852170000000001</v>
      </c>
      <c r="F53" s="553">
        <f t="shared" si="7"/>
        <v>0.32119179112439045</v>
      </c>
      <c r="G53" s="556">
        <f t="shared" si="6"/>
        <v>1.2682576569352202</v>
      </c>
    </row>
    <row r="54" spans="2:7" x14ac:dyDescent="0.2">
      <c r="B54" s="426"/>
      <c r="C54" s="407" t="s">
        <v>605</v>
      </c>
      <c r="D54" s="368">
        <v>183</v>
      </c>
      <c r="E54" s="427">
        <v>289.92105399999997</v>
      </c>
      <c r="F54" s="553">
        <f t="shared" si="7"/>
        <v>4.4657348668714629</v>
      </c>
      <c r="G54" s="556">
        <f t="shared" si="6"/>
        <v>17.633397226390798</v>
      </c>
    </row>
    <row r="55" spans="2:7" x14ac:dyDescent="0.2">
      <c r="B55" s="426"/>
      <c r="C55" s="407" t="s">
        <v>606</v>
      </c>
      <c r="D55" s="368">
        <v>17</v>
      </c>
      <c r="E55" s="427">
        <v>28.742441000000003</v>
      </c>
      <c r="F55" s="553">
        <f t="shared" si="7"/>
        <v>0.44272783629124046</v>
      </c>
      <c r="G55" s="556">
        <f t="shared" si="6"/>
        <v>1.7481547904730685</v>
      </c>
    </row>
    <row r="56" spans="2:7" x14ac:dyDescent="0.2">
      <c r="B56" s="428"/>
      <c r="C56" s="410" t="s">
        <v>608</v>
      </c>
      <c r="D56" s="429">
        <v>2</v>
      </c>
      <c r="E56" s="430">
        <v>2.0053019999999999</v>
      </c>
      <c r="F56" s="555">
        <f t="shared" si="7"/>
        <v>3.0888226075527027E-2</v>
      </c>
      <c r="G56" s="557">
        <f t="shared" si="6"/>
        <v>0.12196522548816313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3:G26"/>
  <sheetViews>
    <sheetView workbookViewId="0"/>
  </sheetViews>
  <sheetFormatPr defaultRowHeight="12.75" x14ac:dyDescent="0.2"/>
  <cols>
    <col min="2" max="2" width="10.75" bestFit="1" customWidth="1"/>
    <col min="3" max="3" width="16.125" bestFit="1" customWidth="1"/>
  </cols>
  <sheetData>
    <row r="3" spans="1:7" x14ac:dyDescent="0.2">
      <c r="A3" s="278"/>
      <c r="B3" s="992" t="s">
        <v>719</v>
      </c>
      <c r="C3" s="993"/>
      <c r="D3" s="993"/>
      <c r="E3" s="1030"/>
    </row>
    <row r="4" spans="1:7" x14ac:dyDescent="0.2">
      <c r="A4" s="150"/>
      <c r="B4" s="286"/>
      <c r="C4" s="286" t="s">
        <v>609</v>
      </c>
      <c r="D4" s="445" t="s">
        <v>78</v>
      </c>
      <c r="E4" s="559" t="s">
        <v>309</v>
      </c>
      <c r="F4" s="150"/>
      <c r="G4" s="150"/>
    </row>
    <row r="5" spans="1:7" s="23" customFormat="1" x14ac:dyDescent="0.2">
      <c r="A5" s="433"/>
      <c r="B5" s="441" t="s">
        <v>720</v>
      </c>
      <c r="C5" s="431" t="s">
        <v>106</v>
      </c>
      <c r="D5" s="462">
        <v>11.045034949629926</v>
      </c>
      <c r="E5" s="560">
        <v>6.7821178522797743</v>
      </c>
      <c r="F5" s="433"/>
      <c r="G5" s="433"/>
    </row>
    <row r="6" spans="1:7" s="24" customFormat="1" x14ac:dyDescent="0.2">
      <c r="A6" s="435"/>
      <c r="B6" s="442"/>
      <c r="C6" s="431" t="s">
        <v>92</v>
      </c>
      <c r="D6" s="462">
        <v>13.044268325233663</v>
      </c>
      <c r="E6" s="560">
        <v>12.097313229681227</v>
      </c>
      <c r="F6" s="435"/>
      <c r="G6" s="435"/>
    </row>
    <row r="7" spans="1:7" s="24" customFormat="1" x14ac:dyDescent="0.2">
      <c r="A7" s="435"/>
      <c r="B7" s="442"/>
      <c r="C7" s="431" t="s">
        <v>105</v>
      </c>
      <c r="D7" s="462">
        <v>5.2318922165102721</v>
      </c>
      <c r="E7" s="560">
        <v>5.4403385550232199</v>
      </c>
      <c r="F7" s="435"/>
      <c r="G7" s="435"/>
    </row>
    <row r="8" spans="1:7" s="24" customFormat="1" x14ac:dyDescent="0.2">
      <c r="A8" s="435"/>
      <c r="B8" s="442" t="s">
        <v>83</v>
      </c>
      <c r="C8" s="431" t="s">
        <v>84</v>
      </c>
      <c r="D8" s="462">
        <v>13.514506329124355</v>
      </c>
      <c r="E8" s="561">
        <v>15.000070338806143</v>
      </c>
      <c r="F8" s="435"/>
      <c r="G8" s="435"/>
    </row>
    <row r="9" spans="1:7" s="24" customFormat="1" x14ac:dyDescent="0.2">
      <c r="A9" s="435"/>
      <c r="B9" s="442"/>
      <c r="C9" s="431" t="s">
        <v>85</v>
      </c>
      <c r="D9" s="462">
        <v>10.362197277902331</v>
      </c>
      <c r="E9" s="561">
        <v>10.510925319636881</v>
      </c>
      <c r="F9" s="435"/>
      <c r="G9" s="435"/>
    </row>
    <row r="10" spans="1:7" s="24" customFormat="1" x14ac:dyDescent="0.2">
      <c r="A10" s="435"/>
      <c r="B10" s="442"/>
      <c r="C10" s="431" t="s">
        <v>86</v>
      </c>
      <c r="D10" s="462">
        <v>14.343541729603185</v>
      </c>
      <c r="E10" s="561">
        <v>12.527813978747838</v>
      </c>
      <c r="F10" s="435"/>
      <c r="G10" s="435"/>
    </row>
    <row r="11" spans="1:7" s="24" customFormat="1" x14ac:dyDescent="0.2">
      <c r="A11" s="435"/>
      <c r="B11" s="442"/>
      <c r="C11" s="431" t="s">
        <v>87</v>
      </c>
      <c r="D11" s="462">
        <v>12.769317962184415</v>
      </c>
      <c r="E11" s="561">
        <v>14.402407063883537</v>
      </c>
      <c r="F11" s="435"/>
      <c r="G11" s="435"/>
    </row>
    <row r="12" spans="1:7" s="24" customFormat="1" x14ac:dyDescent="0.2">
      <c r="A12" s="435"/>
      <c r="B12" s="442"/>
      <c r="C12" s="431" t="s">
        <v>88</v>
      </c>
      <c r="D12" s="462">
        <v>10.30154975964239</v>
      </c>
      <c r="E12" s="561">
        <v>9.9642887259787862</v>
      </c>
      <c r="F12" s="435"/>
      <c r="G12" s="435"/>
    </row>
    <row r="13" spans="1:7" s="24" customFormat="1" x14ac:dyDescent="0.2">
      <c r="A13" s="435"/>
      <c r="B13" s="442"/>
      <c r="C13" s="431" t="s">
        <v>89</v>
      </c>
      <c r="D13" s="462">
        <v>16.73903647051133</v>
      </c>
      <c r="E13" s="561">
        <v>12.737838012819129</v>
      </c>
      <c r="F13" s="435"/>
      <c r="G13" s="435"/>
    </row>
    <row r="14" spans="1:7" s="24" customFormat="1" x14ac:dyDescent="0.2">
      <c r="A14" s="435"/>
      <c r="B14" s="442"/>
      <c r="C14" s="431" t="s">
        <v>90</v>
      </c>
      <c r="D14" s="462">
        <v>6.7453544139905546</v>
      </c>
      <c r="E14" s="561">
        <v>8.0918227090945507</v>
      </c>
      <c r="F14" s="435"/>
      <c r="G14" s="435"/>
    </row>
    <row r="15" spans="1:7" s="24" customFormat="1" x14ac:dyDescent="0.2">
      <c r="A15" s="435"/>
      <c r="B15" s="442"/>
      <c r="C15" s="431" t="s">
        <v>91</v>
      </c>
      <c r="D15" s="462">
        <v>14.821718971963435</v>
      </c>
      <c r="E15" s="561">
        <v>12.31541535093983</v>
      </c>
      <c r="F15" s="435"/>
      <c r="G15" s="435"/>
    </row>
    <row r="16" spans="1:7" s="24" customFormat="1" x14ac:dyDescent="0.2">
      <c r="A16" s="435"/>
      <c r="B16" s="442" t="s">
        <v>93</v>
      </c>
      <c r="C16" s="431" t="s">
        <v>94</v>
      </c>
      <c r="D16" s="462">
        <v>4.7051078868132876</v>
      </c>
      <c r="E16" s="561">
        <v>4.9619961010167568</v>
      </c>
      <c r="F16" s="435"/>
      <c r="G16" s="435"/>
    </row>
    <row r="17" spans="1:7" s="24" customFormat="1" x14ac:dyDescent="0.2">
      <c r="A17" s="435"/>
      <c r="B17" s="442"/>
      <c r="C17" s="431" t="s">
        <v>95</v>
      </c>
      <c r="D17" s="462">
        <v>6.6503075503131903</v>
      </c>
      <c r="E17" s="561">
        <v>6.74727397166654</v>
      </c>
      <c r="F17" s="435"/>
      <c r="G17" s="435"/>
    </row>
    <row r="18" spans="1:7" s="24" customFormat="1" x14ac:dyDescent="0.2">
      <c r="A18" s="435"/>
      <c r="B18" s="442"/>
      <c r="C18" s="431" t="s">
        <v>96</v>
      </c>
      <c r="D18" s="462">
        <v>5.9036895990286169</v>
      </c>
      <c r="E18" s="561">
        <v>6.4445408862964282</v>
      </c>
      <c r="F18" s="435"/>
      <c r="G18" s="435"/>
    </row>
    <row r="19" spans="1:7" s="24" customFormat="1" x14ac:dyDescent="0.2">
      <c r="A19" s="435"/>
      <c r="B19" s="442"/>
      <c r="C19" s="431" t="s">
        <v>97</v>
      </c>
      <c r="D19" s="462">
        <v>5.733817597780658</v>
      </c>
      <c r="E19" s="561">
        <v>7.1728706444794401</v>
      </c>
      <c r="F19" s="435"/>
      <c r="G19" s="435"/>
    </row>
    <row r="20" spans="1:7" s="24" customFormat="1" x14ac:dyDescent="0.2">
      <c r="A20" s="435"/>
      <c r="B20" s="442"/>
      <c r="C20" s="431" t="s">
        <v>98</v>
      </c>
      <c r="D20" s="462">
        <v>4.4622479396808705</v>
      </c>
      <c r="E20" s="561">
        <v>5.6881561483034826</v>
      </c>
      <c r="F20" s="435"/>
      <c r="G20" s="435"/>
    </row>
    <row r="21" spans="1:7" s="24" customFormat="1" x14ac:dyDescent="0.2">
      <c r="A21" s="435"/>
      <c r="B21" s="442"/>
      <c r="C21" s="431" t="s">
        <v>99</v>
      </c>
      <c r="D21" s="462">
        <v>6.8301493103541713</v>
      </c>
      <c r="E21" s="561">
        <v>6.8527875647092324</v>
      </c>
      <c r="F21" s="435"/>
      <c r="G21" s="435"/>
    </row>
    <row r="22" spans="1:7" s="24" customFormat="1" x14ac:dyDescent="0.2">
      <c r="A22" s="435"/>
      <c r="B22" s="442"/>
      <c r="C22" s="431" t="s">
        <v>100</v>
      </c>
      <c r="D22" s="462">
        <v>3.8495670349358013</v>
      </c>
      <c r="E22" s="561">
        <v>2.4578632598288617</v>
      </c>
      <c r="F22" s="435"/>
      <c r="G22" s="435"/>
    </row>
    <row r="23" spans="1:7" s="24" customFormat="1" x14ac:dyDescent="0.2">
      <c r="A23" s="435"/>
      <c r="B23" s="442"/>
      <c r="C23" s="431" t="s">
        <v>101</v>
      </c>
      <c r="D23" s="462">
        <v>4.5565217391304351</v>
      </c>
      <c r="E23" s="561">
        <v>3.1411659630863871</v>
      </c>
      <c r="F23" s="435"/>
      <c r="G23" s="435"/>
    </row>
    <row r="24" spans="1:7" s="24" customFormat="1" x14ac:dyDescent="0.2">
      <c r="A24" s="435"/>
      <c r="B24" s="442"/>
      <c r="C24" s="431" t="s">
        <v>102</v>
      </c>
      <c r="D24" s="462">
        <v>4.6800867141529876</v>
      </c>
      <c r="E24" s="561">
        <v>5.3390297480223188</v>
      </c>
      <c r="F24" s="435"/>
      <c r="G24" s="435"/>
    </row>
    <row r="25" spans="1:7" s="24" customFormat="1" x14ac:dyDescent="0.2">
      <c r="A25" s="435"/>
      <c r="B25" s="442"/>
      <c r="C25" s="431" t="s">
        <v>103</v>
      </c>
      <c r="D25" s="462">
        <v>3.5903540903540905</v>
      </c>
      <c r="E25" s="561">
        <v>4.934940634184164</v>
      </c>
      <c r="F25" s="435"/>
      <c r="G25" s="435"/>
    </row>
    <row r="26" spans="1:7" s="24" customFormat="1" ht="13.5" thickBot="1" x14ac:dyDescent="0.25">
      <c r="A26" s="435"/>
      <c r="B26" s="297"/>
      <c r="C26" s="437" t="s">
        <v>104</v>
      </c>
      <c r="D26" s="455">
        <v>4.4233913507564884</v>
      </c>
      <c r="E26" s="562">
        <v>5.0949881916157844</v>
      </c>
      <c r="F26" s="435"/>
      <c r="G26" s="435"/>
    </row>
  </sheetData>
  <mergeCells count="1">
    <mergeCell ref="B3:E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M57"/>
  <sheetViews>
    <sheetView workbookViewId="0">
      <selection activeCell="B3" sqref="B3"/>
    </sheetView>
  </sheetViews>
  <sheetFormatPr defaultRowHeight="12.75" x14ac:dyDescent="0.2"/>
  <cols>
    <col min="2" max="2" width="36.375" customWidth="1"/>
    <col min="3" max="3" width="20.625" style="882" bestFit="1" customWidth="1"/>
    <col min="11" max="11" width="39.125" bestFit="1" customWidth="1"/>
    <col min="12" max="12" width="10.125" bestFit="1" customWidth="1"/>
    <col min="13" max="13" width="13.25" bestFit="1" customWidth="1"/>
  </cols>
  <sheetData>
    <row r="3" spans="2:13" x14ac:dyDescent="0.2">
      <c r="B3" t="s">
        <v>753</v>
      </c>
      <c r="C3" s="882" t="str">
        <f>Index!$B$4</f>
        <v>England</v>
      </c>
      <c r="K3" s="891" t="s">
        <v>770</v>
      </c>
      <c r="L3" s="892" t="s">
        <v>308</v>
      </c>
      <c r="M3" s="892" t="s">
        <v>771</v>
      </c>
    </row>
    <row r="4" spans="2:13" x14ac:dyDescent="0.2">
      <c r="B4" t="s">
        <v>308</v>
      </c>
      <c r="C4" s="883">
        <f>'Table 1'!$C$12</f>
        <v>13027866.9849</v>
      </c>
      <c r="K4" s="884" t="s">
        <v>721</v>
      </c>
      <c r="L4" s="885">
        <v>13027866.9849</v>
      </c>
      <c r="M4" s="885">
        <v>1297665.5877619777</v>
      </c>
    </row>
    <row r="5" spans="2:13" x14ac:dyDescent="0.2">
      <c r="B5" t="s">
        <v>772</v>
      </c>
      <c r="C5" s="882" t="e">
        <f>_xlfn.RANK.EQ(VLOOKUP($C$3,$K$5:$M$18,2,FALSE),$L$5:$L$18)</f>
        <v>#N/A</v>
      </c>
      <c r="K5" s="884" t="s">
        <v>286</v>
      </c>
      <c r="L5" s="885">
        <v>984400</v>
      </c>
      <c r="M5" s="885">
        <v>88219.76265777045</v>
      </c>
    </row>
    <row r="6" spans="2:13" x14ac:dyDescent="0.2">
      <c r="B6" t="s">
        <v>773</v>
      </c>
      <c r="C6" s="886">
        <f>'Table 1'!$D$13</f>
        <v>9.9606911036629567E-2</v>
      </c>
      <c r="K6" s="884" t="s">
        <v>307</v>
      </c>
      <c r="L6" s="885">
        <v>1026900</v>
      </c>
      <c r="M6" s="885">
        <v>111777.13630338201</v>
      </c>
    </row>
    <row r="7" spans="2:13" x14ac:dyDescent="0.2">
      <c r="B7" t="s">
        <v>774</v>
      </c>
      <c r="C7" s="882" t="e">
        <f>_xlfn.RANK.EQ(VLOOKUP($C$3,$K$5:$M$18,3,FALSE),$M$5:$M$18)</f>
        <v>#N/A</v>
      </c>
      <c r="K7" s="884" t="s">
        <v>287</v>
      </c>
      <c r="L7" s="885">
        <v>1701800</v>
      </c>
      <c r="M7" s="885">
        <v>132939.83507470129</v>
      </c>
    </row>
    <row r="8" spans="2:13" x14ac:dyDescent="0.2">
      <c r="B8" t="s">
        <v>775</v>
      </c>
      <c r="C8" s="886">
        <f>'Table 2'!$D$7</f>
        <v>0.16523542309893685</v>
      </c>
      <c r="K8" s="884" t="s">
        <v>288</v>
      </c>
      <c r="L8" s="885">
        <v>693900</v>
      </c>
      <c r="M8" s="885">
        <v>56483.157629075737</v>
      </c>
    </row>
    <row r="9" spans="2:13" x14ac:dyDescent="0.2">
      <c r="K9" s="884" t="s">
        <v>305</v>
      </c>
      <c r="L9" s="885">
        <v>426200</v>
      </c>
      <c r="M9" s="885">
        <v>29449.692692504977</v>
      </c>
    </row>
    <row r="10" spans="2:13" x14ac:dyDescent="0.2">
      <c r="B10" t="s">
        <v>776</v>
      </c>
      <c r="C10" s="887" t="str">
        <f>INDEX('Section 2 data'!$C$8:$C$14,MATCH('Key findings'!C11,'Section 2 data'!$J$8:$J$14,0))</f>
        <v>Sitka spruce</v>
      </c>
      <c r="E10" t="s">
        <v>777</v>
      </c>
      <c r="K10" s="884" t="s">
        <v>289</v>
      </c>
      <c r="L10" s="885">
        <v>331800</v>
      </c>
      <c r="M10" s="885">
        <v>35171.526755349325</v>
      </c>
    </row>
    <row r="11" spans="2:13" x14ac:dyDescent="0.2">
      <c r="B11" t="s">
        <v>776</v>
      </c>
      <c r="C11" s="888">
        <f>MAX('Section 2 data'!$J$8:$J$14)</f>
        <v>0.26311324706525835</v>
      </c>
      <c r="K11" s="884" t="s">
        <v>306</v>
      </c>
      <c r="L11" s="885">
        <v>684100</v>
      </c>
      <c r="M11" s="885">
        <v>103265.27677174033</v>
      </c>
    </row>
    <row r="12" spans="2:13" x14ac:dyDescent="0.2">
      <c r="B12" t="s">
        <v>778</v>
      </c>
      <c r="C12" s="887" t="str">
        <f>INDEX('Section 2 data'!$C$16:$C$25,MATCH('Key findings'!C13,'Section 2 data'!$J$16:$J$25,0))</f>
        <v>Oak</v>
      </c>
      <c r="E12" t="s">
        <v>777</v>
      </c>
      <c r="K12" s="884" t="s">
        <v>290</v>
      </c>
      <c r="L12" s="885">
        <v>1004800</v>
      </c>
      <c r="M12" s="885">
        <v>50113.990958361188</v>
      </c>
    </row>
    <row r="13" spans="2:13" x14ac:dyDescent="0.2">
      <c r="B13" t="s">
        <v>778</v>
      </c>
      <c r="C13" s="888">
        <f>MAX('Section 2 data'!$J$16:$J$25)</f>
        <v>0.18645189204926491</v>
      </c>
      <c r="K13" s="884" t="s">
        <v>291</v>
      </c>
      <c r="L13" s="885">
        <v>843400</v>
      </c>
      <c r="M13" s="885">
        <v>116129.85117915674</v>
      </c>
    </row>
    <row r="14" spans="2:13" x14ac:dyDescent="0.2">
      <c r="K14" s="884" t="s">
        <v>292</v>
      </c>
      <c r="L14" s="885">
        <v>613800</v>
      </c>
      <c r="M14" s="885">
        <v>120885.63554048816</v>
      </c>
    </row>
    <row r="15" spans="2:13" x14ac:dyDescent="0.2">
      <c r="B15" t="s">
        <v>779</v>
      </c>
      <c r="C15" s="887" t="str">
        <f>INDEX('Section 3 data'!$C$8:$C$14,MATCH('Key findings'!C16,'Section 3 data'!$J$8:$J$14,0))</f>
        <v>Sitka spruce</v>
      </c>
      <c r="E15" t="s">
        <v>777</v>
      </c>
      <c r="K15" s="884" t="s">
        <v>293</v>
      </c>
      <c r="L15" s="885">
        <v>725400</v>
      </c>
      <c r="M15" s="885">
        <v>97243.975178644585</v>
      </c>
    </row>
    <row r="16" spans="2:13" x14ac:dyDescent="0.2">
      <c r="B16" t="s">
        <v>779</v>
      </c>
      <c r="C16" s="888">
        <f>MAX('Section 3 data'!$J$8:$J$14)</f>
        <v>0.22352685882705534</v>
      </c>
      <c r="K16" s="884" t="s">
        <v>294</v>
      </c>
      <c r="L16" s="885">
        <v>1091200</v>
      </c>
      <c r="M16" s="885">
        <v>105008.94606982135</v>
      </c>
    </row>
    <row r="17" spans="2:13" x14ac:dyDescent="0.2">
      <c r="B17" t="s">
        <v>780</v>
      </c>
      <c r="C17" s="887" t="str">
        <f>INDEX('Section 3 data'!$C$16:$C$25,MATCH('Key findings'!C18,'Section 3 data'!$J$16:$J$25,0))</f>
        <v>Oak</v>
      </c>
      <c r="E17" t="s">
        <v>777</v>
      </c>
      <c r="K17" s="884" t="s">
        <v>295</v>
      </c>
      <c r="L17" s="885">
        <v>1487400</v>
      </c>
      <c r="M17" s="885">
        <v>140664.15780331058</v>
      </c>
    </row>
    <row r="18" spans="2:13" x14ac:dyDescent="0.2">
      <c r="B18" t="s">
        <v>780</v>
      </c>
      <c r="C18" s="888">
        <f>MAX('Section 3 data'!$J$16:$J$25)</f>
        <v>0.30476476850781403</v>
      </c>
      <c r="K18" s="884" t="s">
        <v>296</v>
      </c>
      <c r="L18" s="885">
        <v>1437100</v>
      </c>
      <c r="M18" s="885">
        <v>110312.64314683448</v>
      </c>
    </row>
    <row r="20" spans="2:13" x14ac:dyDescent="0.2">
      <c r="B20" t="s">
        <v>781</v>
      </c>
      <c r="C20" s="887" t="str">
        <f>INDEX('Section 4 data'!$C$8:$C$14,MATCH('Key findings'!C21,'Section 4 data'!$J$8:$J$14,0))</f>
        <v>Sitka spruce</v>
      </c>
      <c r="E20" t="s">
        <v>777</v>
      </c>
    </row>
    <row r="21" spans="2:13" x14ac:dyDescent="0.2">
      <c r="B21" t="s">
        <v>781</v>
      </c>
      <c r="C21" s="888">
        <f>MAX('Section 4 data'!$J$8:$J$14)</f>
        <v>0.37216118368047935</v>
      </c>
    </row>
    <row r="22" spans="2:13" x14ac:dyDescent="0.2">
      <c r="B22" t="s">
        <v>782</v>
      </c>
      <c r="C22" s="887" t="str">
        <f>INDEX('Section 4 data'!$C$16:$C$25,MATCH('Key findings'!C23,'Section 4 data'!$J$16:$J$25,0))</f>
        <v>Hazel</v>
      </c>
      <c r="E22" t="s">
        <v>777</v>
      </c>
    </row>
    <row r="23" spans="2:13" x14ac:dyDescent="0.2">
      <c r="B23" t="s">
        <v>782</v>
      </c>
      <c r="C23" s="888">
        <f>MAX('Section 4 data'!$J$16:$J$25)</f>
        <v>0.12713318595685241</v>
      </c>
    </row>
    <row r="25" spans="2:13" x14ac:dyDescent="0.2">
      <c r="B25" t="s">
        <v>783</v>
      </c>
      <c r="C25" s="886">
        <f>('Section 8 data'!$D$6+'Section 8 data'!$E$6)/'Section 3 data'!$H$6</f>
        <v>0.22669682990039144</v>
      </c>
      <c r="E25" s="915"/>
    </row>
    <row r="26" spans="2:13" x14ac:dyDescent="0.2">
      <c r="B26" t="s">
        <v>784</v>
      </c>
      <c r="C26" s="888">
        <f>('Thinning data'!$D$21+'Thinning data'!$D$26)/('Thinning data'!$C$5+'Thinning data'!$C$6)</f>
        <v>0.33659280055687851</v>
      </c>
    </row>
    <row r="28" spans="2:13" x14ac:dyDescent="0.2">
      <c r="B28" t="s">
        <v>785</v>
      </c>
      <c r="C28" s="886">
        <f>('Section 8 data'!$D$7+'Section 8 data'!$E$7)/'Section 3 data'!$H$7</f>
        <v>0.53704320262751171</v>
      </c>
    </row>
    <row r="29" spans="2:13" x14ac:dyDescent="0.2">
      <c r="B29" t="s">
        <v>786</v>
      </c>
      <c r="C29" s="888">
        <f>'Thinning data'!$D$16/'Thinning data'!$C$4</f>
        <v>0.14878673947691642</v>
      </c>
    </row>
    <row r="31" spans="2:13" x14ac:dyDescent="0.2">
      <c r="B31" t="s">
        <v>787</v>
      </c>
      <c r="C31" s="888">
        <f>'Section 2 data'!$K$19</f>
        <v>0.10067481775536639</v>
      </c>
    </row>
    <row r="32" spans="2:13" x14ac:dyDescent="0.2">
      <c r="B32" t="s">
        <v>788</v>
      </c>
      <c r="C32" s="888">
        <f>'Section 2 data'!$J$19</f>
        <v>0.13508551274143143</v>
      </c>
    </row>
    <row r="33" spans="2:3" x14ac:dyDescent="0.2">
      <c r="B33" t="s">
        <v>789</v>
      </c>
      <c r="C33" s="888">
        <f>'Section 3 data'!$K$19</f>
        <v>0.11096087046194111</v>
      </c>
    </row>
    <row r="34" spans="2:3" x14ac:dyDescent="0.2">
      <c r="B34" t="s">
        <v>790</v>
      </c>
      <c r="C34" s="888">
        <f>'Section 3 data'!$J$19</f>
        <v>0.16703121690197908</v>
      </c>
    </row>
    <row r="35" spans="2:3" x14ac:dyDescent="0.2">
      <c r="B35" t="s">
        <v>791</v>
      </c>
      <c r="C35" s="888">
        <f>'Section 4 data'!$K$19</f>
        <v>8.5777749259728017E-2</v>
      </c>
    </row>
    <row r="36" spans="2:3" x14ac:dyDescent="0.2">
      <c r="B36" t="s">
        <v>792</v>
      </c>
      <c r="C36" s="888">
        <f>'Section 4 data'!$J$19</f>
        <v>0.11097806353037427</v>
      </c>
    </row>
    <row r="38" spans="2:3" x14ac:dyDescent="0.2">
      <c r="B38" t="s">
        <v>793</v>
      </c>
      <c r="C38" s="888">
        <f>'Section 2 data'!$K$16</f>
        <v>0.1389565014875635</v>
      </c>
    </row>
    <row r="39" spans="2:3" x14ac:dyDescent="0.2">
      <c r="B39" t="s">
        <v>794</v>
      </c>
      <c r="C39" s="888">
        <f>'Section 2 data'!$J$16</f>
        <v>0.18645189204926491</v>
      </c>
    </row>
    <row r="40" spans="2:3" x14ac:dyDescent="0.2">
      <c r="B40" t="s">
        <v>795</v>
      </c>
      <c r="C40" s="888">
        <f>'Section 3 data'!$K$16</f>
        <v>0.20245894526173652</v>
      </c>
    </row>
    <row r="41" spans="2:3" x14ac:dyDescent="0.2">
      <c r="B41" t="s">
        <v>796</v>
      </c>
      <c r="C41" s="888">
        <f>'Section 3 data'!$J$16</f>
        <v>0.30476476850781403</v>
      </c>
    </row>
    <row r="42" spans="2:3" x14ac:dyDescent="0.2">
      <c r="B42" t="s">
        <v>797</v>
      </c>
      <c r="C42" s="888">
        <f>'Section 4 data'!$K$16</f>
        <v>8.0422752677737991E-2</v>
      </c>
    </row>
    <row r="43" spans="2:3" x14ac:dyDescent="0.2">
      <c r="B43" t="s">
        <v>798</v>
      </c>
      <c r="C43" s="888">
        <f>'Section 4 data'!$J$16</f>
        <v>0.10404984314676904</v>
      </c>
    </row>
    <row r="45" spans="2:3" x14ac:dyDescent="0.2">
      <c r="B45" t="s">
        <v>799</v>
      </c>
      <c r="C45" s="888">
        <f>'Section 2 data'!$K$21</f>
        <v>2.5138425841088056E-2</v>
      </c>
    </row>
    <row r="46" spans="2:3" x14ac:dyDescent="0.2">
      <c r="B46" t="s">
        <v>800</v>
      </c>
      <c r="C46" s="888">
        <f>'Section 2 data'!$J$21</f>
        <v>3.3730750350176988E-2</v>
      </c>
    </row>
    <row r="47" spans="2:3" x14ac:dyDescent="0.2">
      <c r="B47" t="s">
        <v>801</v>
      </c>
      <c r="C47" s="888">
        <f>'Section 3 data'!$K$21</f>
        <v>3.0131917649034622E-2</v>
      </c>
    </row>
    <row r="48" spans="2:3" x14ac:dyDescent="0.2">
      <c r="B48" t="s">
        <v>802</v>
      </c>
      <c r="C48" s="888">
        <f>'Section 3 data'!$J$21</f>
        <v>4.5358069484816736E-2</v>
      </c>
    </row>
    <row r="49" spans="2:3" x14ac:dyDescent="0.2">
      <c r="B49" t="s">
        <v>803</v>
      </c>
      <c r="C49" s="888">
        <f>'Section 4 data'!$K$21</f>
        <v>3.4161279011376382E-2</v>
      </c>
    </row>
    <row r="50" spans="2:3" x14ac:dyDescent="0.2">
      <c r="B50" t="s">
        <v>804</v>
      </c>
      <c r="C50" s="888">
        <f>'Section 4 data'!$J$21</f>
        <v>4.4197389475959192E-2</v>
      </c>
    </row>
    <row r="52" spans="2:3" x14ac:dyDescent="0.2">
      <c r="B52" t="s">
        <v>805</v>
      </c>
      <c r="C52" s="888">
        <f>'Section 2 data'!$K$12</f>
        <v>3.3603915942905058E-2</v>
      </c>
    </row>
    <row r="53" spans="2:3" x14ac:dyDescent="0.2">
      <c r="B53" t="s">
        <v>806</v>
      </c>
      <c r="C53" s="888">
        <f>'Section 2 data'!$J$12</f>
        <v>0.1319127749327369</v>
      </c>
    </row>
    <row r="54" spans="2:3" x14ac:dyDescent="0.2">
      <c r="B54" t="s">
        <v>807</v>
      </c>
      <c r="C54" s="888">
        <f>'Section 3 data'!$K$12</f>
        <v>4.6502061876511194E-2</v>
      </c>
    </row>
    <row r="55" spans="2:3" x14ac:dyDescent="0.2">
      <c r="B55" t="s">
        <v>808</v>
      </c>
      <c r="C55" s="888">
        <f>'Section 3 data'!$J$12</f>
        <v>0.13840692907411076</v>
      </c>
    </row>
    <row r="56" spans="2:3" x14ac:dyDescent="0.2">
      <c r="B56" t="s">
        <v>809</v>
      </c>
      <c r="C56" s="888">
        <f>'Section 4 data'!$K$12</f>
        <v>2.3549439344245554E-2</v>
      </c>
    </row>
    <row r="57" spans="2:3" x14ac:dyDescent="0.2">
      <c r="B57" t="s">
        <v>810</v>
      </c>
      <c r="C57" s="888">
        <f>'Section 4 data'!$J$12</f>
        <v>0.10396848686656963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0000"/>
    <pageSetUpPr fitToPage="1"/>
  </sheetPr>
  <dimension ref="B2:G179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2" max="2" width="9.75" bestFit="1" customWidth="1"/>
    <col min="3" max="3" width="9.875" bestFit="1" customWidth="1"/>
    <col min="4" max="4" width="10.5" bestFit="1" customWidth="1"/>
    <col min="5" max="5" width="104.875" bestFit="1" customWidth="1"/>
  </cols>
  <sheetData>
    <row r="2" spans="2:5" ht="15" x14ac:dyDescent="0.2">
      <c r="B2" s="1031" t="s">
        <v>359</v>
      </c>
      <c r="C2" s="1031"/>
      <c r="D2" s="1031"/>
      <c r="E2" s="1031"/>
    </row>
    <row r="3" spans="2:5" ht="15" x14ac:dyDescent="0.2">
      <c r="B3" s="476"/>
      <c r="C3" s="476"/>
      <c r="D3" s="476"/>
      <c r="E3" s="476"/>
    </row>
    <row r="4" spans="2:5" ht="15" x14ac:dyDescent="0.2">
      <c r="B4" s="1031" t="s">
        <v>721</v>
      </c>
      <c r="C4" s="1031"/>
      <c r="D4" s="1031"/>
      <c r="E4" s="1031"/>
    </row>
    <row r="6" spans="2:5" x14ac:dyDescent="0.2">
      <c r="B6" s="514" t="s">
        <v>447</v>
      </c>
      <c r="C6" s="514"/>
      <c r="D6" s="514"/>
      <c r="E6" s="530" t="s">
        <v>33</v>
      </c>
    </row>
    <row r="7" spans="2:5" x14ac:dyDescent="0.2">
      <c r="C7" t="str">
        <f>'Table 1'!$B$3</f>
        <v>Table 1</v>
      </c>
      <c r="D7" t="s">
        <v>107</v>
      </c>
      <c r="E7" t="str">
        <f>'Table 1'!$C$3</f>
        <v>Woodland area by woodland type</v>
      </c>
    </row>
    <row r="8" spans="2:5" x14ac:dyDescent="0.2">
      <c r="C8" t="str">
        <f>'Table 2'!$B$3</f>
        <v>Table 2</v>
      </c>
      <c r="D8" t="s">
        <v>108</v>
      </c>
      <c r="E8" t="str">
        <f>'Table 2'!$C$3</f>
        <v>Woodland area by ownership</v>
      </c>
    </row>
    <row r="9" spans="2:5" x14ac:dyDescent="0.2">
      <c r="C9" t="str">
        <f>'Eng Table 3'!$B$3</f>
        <v>Table 3</v>
      </c>
      <c r="D9" t="s">
        <v>109</v>
      </c>
      <c r="E9" t="str">
        <f>'Eng Table 3'!$C$3</f>
        <v>Woodland area by ownership - aligned area summary</v>
      </c>
    </row>
    <row r="10" spans="2:5" x14ac:dyDescent="0.2">
      <c r="D10" t="s">
        <v>110</v>
      </c>
      <c r="E10" t="s">
        <v>816</v>
      </c>
    </row>
    <row r="11" spans="2:5" x14ac:dyDescent="0.2">
      <c r="D11" t="s">
        <v>111</v>
      </c>
      <c r="E11" t="s">
        <v>817</v>
      </c>
    </row>
    <row r="12" spans="2:5" x14ac:dyDescent="0.2">
      <c r="C12" t="str">
        <f>'Eng Table 4'!$B$3</f>
        <v>Table 4</v>
      </c>
      <c r="D12" t="s">
        <v>112</v>
      </c>
      <c r="E12" t="str">
        <f>'Eng Table 4'!$C$3</f>
        <v>Woodland area by interpreted forest type</v>
      </c>
    </row>
    <row r="13" spans="2:5" x14ac:dyDescent="0.2">
      <c r="C13" t="str">
        <f>'Eng Table 5'!$B$3</f>
        <v>Table 5</v>
      </c>
      <c r="D13" t="s">
        <v>818</v>
      </c>
      <c r="E13" t="str">
        <f>'Eng Table 5'!$C$3</f>
        <v>Woodland area by interpreted forest type and woodland size</v>
      </c>
    </row>
    <row r="14" spans="2:5" x14ac:dyDescent="0.2">
      <c r="C14" t="str">
        <f>'Eng Table 6'!$B$3</f>
        <v>Table 6</v>
      </c>
      <c r="D14" t="s">
        <v>113</v>
      </c>
      <c r="E14" t="str">
        <f>'Eng Table 6'!$C$3</f>
        <v>Woodland area by interpreted forest type and ownership</v>
      </c>
    </row>
    <row r="15" spans="2:5" x14ac:dyDescent="0.2">
      <c r="C15" t="str">
        <f>'Eng Table 7'!$B$3</f>
        <v>Table 7</v>
      </c>
      <c r="E15" t="str">
        <f>'Eng Table 7'!$C$3</f>
        <v>Woodland area by interpreted forest type, woodland size and  ownership</v>
      </c>
    </row>
    <row r="16" spans="2:5" x14ac:dyDescent="0.2">
      <c r="C16" t="str">
        <f>'Eng Table 8'!$B$3</f>
        <v>Table 8</v>
      </c>
      <c r="D16" t="s">
        <v>114</v>
      </c>
      <c r="E16" t="str">
        <f>'Eng Table 8'!$C$3</f>
        <v>Woodland area by size class distribution</v>
      </c>
    </row>
    <row r="17" spans="2:5" x14ac:dyDescent="0.2">
      <c r="C17" t="str">
        <f>'Eng Table 9'!$B$3</f>
        <v>Table 9</v>
      </c>
      <c r="D17" t="s">
        <v>115</v>
      </c>
      <c r="E17" t="str">
        <f>'Eng Table 9'!$C$3</f>
        <v>Open areas in woodland by land use type</v>
      </c>
    </row>
    <row r="19" spans="2:5" x14ac:dyDescent="0.2">
      <c r="B19" s="515" t="s">
        <v>448</v>
      </c>
      <c r="C19" s="515"/>
      <c r="D19" s="515"/>
      <c r="E19" s="532" t="s">
        <v>68</v>
      </c>
    </row>
    <row r="20" spans="2:5" x14ac:dyDescent="0.2">
      <c r="C20" t="str">
        <f>'Eng Table 10'!$B$3</f>
        <v>Table 10</v>
      </c>
      <c r="D20" t="s">
        <v>116</v>
      </c>
      <c r="E20" t="str">
        <f>'Eng Table 10'!$C$3</f>
        <v>Stocked area by principal tree species</v>
      </c>
    </row>
    <row r="21" spans="2:5" x14ac:dyDescent="0.2">
      <c r="D21" t="s">
        <v>117</v>
      </c>
      <c r="E21" t="s">
        <v>462</v>
      </c>
    </row>
    <row r="22" spans="2:5" x14ac:dyDescent="0.2">
      <c r="D22" t="s">
        <v>118</v>
      </c>
      <c r="E22" t="s">
        <v>463</v>
      </c>
    </row>
    <row r="23" spans="2:5" x14ac:dyDescent="0.2">
      <c r="C23" t="str">
        <f>'Eng Table 11'!$B$3</f>
        <v>Table 11</v>
      </c>
      <c r="D23" t="s">
        <v>140</v>
      </c>
      <c r="E23" t="str">
        <f>'Eng Table 11'!$C$3</f>
        <v>Stocked area of all conifers by aligned area</v>
      </c>
    </row>
    <row r="24" spans="2:5" x14ac:dyDescent="0.2">
      <c r="C24" t="str">
        <f>'Eng Table 12'!$B$3</f>
        <v>Table 12</v>
      </c>
      <c r="D24" t="s">
        <v>141</v>
      </c>
      <c r="E24" t="str">
        <f>'Eng Table 12'!$C$3</f>
        <v>Stocked area of all broadleaves by aligned area</v>
      </c>
    </row>
    <row r="25" spans="2:5" x14ac:dyDescent="0.2">
      <c r="C25" t="str">
        <f>'Eng Table 13'!$B$3</f>
        <v>Table 13</v>
      </c>
      <c r="D25" t="s">
        <v>142</v>
      </c>
      <c r="E25" t="str">
        <f>'Eng Table 13'!$C$3</f>
        <v>Stocked area of all species by aligned area</v>
      </c>
    </row>
    <row r="26" spans="2:5" x14ac:dyDescent="0.2">
      <c r="C26" t="str">
        <f>'Eng Table 14'!$B$3</f>
        <v>Table 14</v>
      </c>
      <c r="D26" t="s">
        <v>148</v>
      </c>
      <c r="E26" t="str">
        <f>'Eng Table 14'!$C$3</f>
        <v>Stocked area by age class</v>
      </c>
    </row>
    <row r="27" spans="2:5" x14ac:dyDescent="0.2">
      <c r="C27" t="str">
        <f>'Eng Table 15'!$B$3</f>
        <v>Table 15</v>
      </c>
      <c r="D27" t="s">
        <v>149</v>
      </c>
      <c r="E27" t="str">
        <f>'Eng Table 15'!$C$3</f>
        <v>Stocked area by mean stand dbh class</v>
      </c>
    </row>
    <row r="28" spans="2:5" x14ac:dyDescent="0.2">
      <c r="C28" t="str">
        <f>'Eng Table 16'!$B$3</f>
        <v>Table 16</v>
      </c>
      <c r="D28" t="s">
        <v>150</v>
      </c>
      <c r="E28" t="str">
        <f>'Eng Table 16'!$C$3</f>
        <v>Clearfelled area summarised by aligned area</v>
      </c>
    </row>
    <row r="29" spans="2:5" x14ac:dyDescent="0.2">
      <c r="C29" t="str">
        <f>'Eng Table 17'!$B$3</f>
        <v>Table 17</v>
      </c>
      <c r="D29" t="s">
        <v>152</v>
      </c>
      <c r="E29" t="str">
        <f>'Eng Table 17'!$C$3</f>
        <v xml:space="preserve">Simplified comparison of mapped area estimates and stocked area estimates </v>
      </c>
    </row>
    <row r="31" spans="2:5" x14ac:dyDescent="0.2">
      <c r="B31" s="516" t="s">
        <v>449</v>
      </c>
      <c r="C31" s="516"/>
      <c r="D31" s="516"/>
      <c r="E31" s="533" t="s">
        <v>136</v>
      </c>
    </row>
    <row r="32" spans="2:5" x14ac:dyDescent="0.2">
      <c r="C32" t="str">
        <f>'Eng Table 18'!$B$3</f>
        <v>Table 18</v>
      </c>
      <c r="D32" t="s">
        <v>155</v>
      </c>
      <c r="E32" t="str">
        <f>'Eng Table 18'!$C$3</f>
        <v>Standing volume by principal tree species</v>
      </c>
    </row>
    <row r="33" spans="2:5" x14ac:dyDescent="0.2">
      <c r="D33" t="s">
        <v>164</v>
      </c>
      <c r="E33" t="s">
        <v>464</v>
      </c>
    </row>
    <row r="34" spans="2:5" x14ac:dyDescent="0.2">
      <c r="D34" t="s">
        <v>166</v>
      </c>
      <c r="E34" t="s">
        <v>465</v>
      </c>
    </row>
    <row r="35" spans="2:5" x14ac:dyDescent="0.2">
      <c r="C35" t="str">
        <f>'Eng Table 19'!$B$3</f>
        <v>Table 19</v>
      </c>
      <c r="D35" t="s">
        <v>169</v>
      </c>
      <c r="E35" t="str">
        <f>'Eng Table 19'!$C$3</f>
        <v>Standing volume of all conifers by aligned area</v>
      </c>
    </row>
    <row r="36" spans="2:5" x14ac:dyDescent="0.2">
      <c r="C36" t="str">
        <f>'Eng Table 20'!$B$3</f>
        <v>Table 20</v>
      </c>
      <c r="D36" t="s">
        <v>171</v>
      </c>
      <c r="E36" t="str">
        <f>'Eng Table 20'!$C$3</f>
        <v>Standing volume of all broadleaves by aligned area</v>
      </c>
    </row>
    <row r="37" spans="2:5" x14ac:dyDescent="0.2">
      <c r="C37" t="str">
        <f>'Eng Table 21'!$B$3</f>
        <v>Table 21</v>
      </c>
      <c r="D37" t="s">
        <v>174</v>
      </c>
      <c r="E37" t="str">
        <f>'Eng Table 21'!$C$3</f>
        <v>Standing volume of all species by aligned area</v>
      </c>
    </row>
    <row r="38" spans="2:5" x14ac:dyDescent="0.2">
      <c r="C38" t="str">
        <f>'Eng Table 22'!B$3</f>
        <v>Table 22</v>
      </c>
      <c r="D38" t="s">
        <v>177</v>
      </c>
      <c r="E38" t="str">
        <f>'Eng Table 22'!$C$3</f>
        <v>Standing volume by age class</v>
      </c>
    </row>
    <row r="39" spans="2:5" x14ac:dyDescent="0.2">
      <c r="C39" t="str">
        <f>'Eng Table 23'!$B$3</f>
        <v>Table 23</v>
      </c>
      <c r="D39" t="s">
        <v>180</v>
      </c>
      <c r="E39" t="str">
        <f>'Eng Table 23'!$C$3</f>
        <v>Standing volume by mean stand dbh class</v>
      </c>
    </row>
    <row r="41" spans="2:5" x14ac:dyDescent="0.2">
      <c r="B41" s="517" t="s">
        <v>450</v>
      </c>
      <c r="C41" s="517"/>
      <c r="D41" s="517"/>
      <c r="E41" s="534" t="s">
        <v>827</v>
      </c>
    </row>
    <row r="42" spans="2:5" x14ac:dyDescent="0.2">
      <c r="C42" t="str">
        <f>'Eng Table 24'!$B$3</f>
        <v>Table 24</v>
      </c>
      <c r="D42" t="s">
        <v>183</v>
      </c>
      <c r="E42" t="str">
        <f>'Eng Table 24'!$C$3</f>
        <v>Number of measureable trees by principal tree species</v>
      </c>
    </row>
    <row r="43" spans="2:5" x14ac:dyDescent="0.2">
      <c r="C43" t="str">
        <f>'Eng Table 25'!$B$3</f>
        <v>Table 25</v>
      </c>
      <c r="D43" t="s">
        <v>187</v>
      </c>
      <c r="E43" t="str">
        <f>'Eng Table 25'!$C$3</f>
        <v>Number of measureable conifer trees by aligned area</v>
      </c>
    </row>
    <row r="44" spans="2:5" x14ac:dyDescent="0.2">
      <c r="C44" t="str">
        <f>'Eng Table 26'!$B$3</f>
        <v>Table 26</v>
      </c>
      <c r="D44" t="s">
        <v>190</v>
      </c>
      <c r="E44" t="str">
        <f>'Eng Table 26'!$C$3</f>
        <v>Number of measureable broadleaved trees by aligned area</v>
      </c>
    </row>
    <row r="45" spans="2:5" x14ac:dyDescent="0.2">
      <c r="C45" t="str">
        <f>'Eng Table 27'!$B$3</f>
        <v>Table 27</v>
      </c>
      <c r="D45" t="s">
        <v>192</v>
      </c>
      <c r="E45" t="str">
        <f>'Eng Table 27'!$C$3</f>
        <v>Number of measureable trees by aligned area</v>
      </c>
    </row>
    <row r="46" spans="2:5" x14ac:dyDescent="0.2">
      <c r="C46" t="str">
        <f>'Eng Table 28'!$B$3</f>
        <v>Table 28</v>
      </c>
      <c r="D46" t="s">
        <v>194</v>
      </c>
      <c r="E46" t="str">
        <f>'Eng Table 28'!$C$3</f>
        <v>Number of measureable trees by age class</v>
      </c>
    </row>
    <row r="47" spans="2:5" x14ac:dyDescent="0.2">
      <c r="C47" t="str">
        <f>'Eng Table 29'!$B$3</f>
        <v>Table 29</v>
      </c>
      <c r="D47" t="s">
        <v>196</v>
      </c>
      <c r="E47" t="str">
        <f>'Eng Table 29'!$C$3</f>
        <v>Number of measureable trees by mean stand dbh class</v>
      </c>
    </row>
    <row r="49" spans="2:5" x14ac:dyDescent="0.2">
      <c r="B49" s="518" t="s">
        <v>451</v>
      </c>
      <c r="C49" s="518"/>
      <c r="D49" s="518"/>
      <c r="E49" s="535" t="s">
        <v>829</v>
      </c>
    </row>
    <row r="50" spans="2:5" x14ac:dyDescent="0.2">
      <c r="C50" t="str">
        <f>'Eng Table 30'!$B$3</f>
        <v>Table 30</v>
      </c>
      <c r="D50" t="s">
        <v>198</v>
      </c>
      <c r="E50" t="str">
        <f>'Eng Table 30'!$C$3</f>
        <v>Biomass stocks by principal tree species</v>
      </c>
    </row>
    <row r="51" spans="2:5" x14ac:dyDescent="0.2">
      <c r="C51" t="str">
        <f>'Eng Table 31'!$B$3</f>
        <v>Table 31</v>
      </c>
      <c r="D51" t="s">
        <v>200</v>
      </c>
      <c r="E51" t="str">
        <f>'Eng Table 31'!$C$3</f>
        <v>Biomass stocks in conifers by aligned area</v>
      </c>
    </row>
    <row r="52" spans="2:5" x14ac:dyDescent="0.2">
      <c r="C52" t="str">
        <f>'Eng Table 32'!$B$3</f>
        <v>Table 32</v>
      </c>
      <c r="D52" t="s">
        <v>202</v>
      </c>
      <c r="E52" t="str">
        <f>'Eng Table 32'!$C$3</f>
        <v>Biomass stocks in broadleaves by aligned area</v>
      </c>
    </row>
    <row r="53" spans="2:5" x14ac:dyDescent="0.2">
      <c r="C53" t="str">
        <f>'Eng Table 33'!$B$3</f>
        <v>Table 33</v>
      </c>
      <c r="D53" t="s">
        <v>204</v>
      </c>
      <c r="E53" t="str">
        <f>'Eng Table 33'!$C$3</f>
        <v>Biomass stocks by aligned area</v>
      </c>
    </row>
    <row r="55" spans="2:5" x14ac:dyDescent="0.2">
      <c r="B55" s="519" t="s">
        <v>452</v>
      </c>
      <c r="C55" s="519"/>
      <c r="D55" s="519"/>
      <c r="E55" s="536" t="s">
        <v>834</v>
      </c>
    </row>
    <row r="56" spans="2:5" x14ac:dyDescent="0.2">
      <c r="C56" t="str">
        <f>'Eng Table 34'!$B$3</f>
        <v>Table 34</v>
      </c>
      <c r="D56" t="s">
        <v>206</v>
      </c>
      <c r="E56" t="str">
        <f>'Eng Table 34'!$C$3</f>
        <v>Carbon stocks by principal tree species</v>
      </c>
    </row>
    <row r="57" spans="2:5" x14ac:dyDescent="0.2">
      <c r="C57" t="str">
        <f>'Eng Table 35'!$B$3</f>
        <v>Table 35</v>
      </c>
      <c r="D57" t="s">
        <v>208</v>
      </c>
      <c r="E57" t="str">
        <f>'Eng Table 35'!$C$3</f>
        <v>Carbon stocks in conifers by aligned area</v>
      </c>
    </row>
    <row r="58" spans="2:5" x14ac:dyDescent="0.2">
      <c r="C58" t="str">
        <f>'Eng Table 36'!$B$3</f>
        <v>Table 36</v>
      </c>
      <c r="D58" t="s">
        <v>210</v>
      </c>
      <c r="E58" t="str">
        <f>'Eng Table 36'!$C$3</f>
        <v>Carbon stocks in broadleaves by aligned area</v>
      </c>
    </row>
    <row r="59" spans="2:5" x14ac:dyDescent="0.2">
      <c r="C59" t="str">
        <f>'Eng Table 37'!$B$3</f>
        <v>Table 37</v>
      </c>
      <c r="D59" t="s">
        <v>212</v>
      </c>
      <c r="E59" t="str">
        <f>'Eng Table 37'!$C$3</f>
        <v>Carbon stocks by aligned area</v>
      </c>
    </row>
    <row r="61" spans="2:5" x14ac:dyDescent="0.2">
      <c r="B61" s="521" t="s">
        <v>453</v>
      </c>
      <c r="C61" s="521"/>
      <c r="D61" s="521"/>
      <c r="E61" s="537" t="s">
        <v>158</v>
      </c>
    </row>
    <row r="62" spans="2:5" x14ac:dyDescent="0.2">
      <c r="C62" t="str">
        <f>'Eng Table 38'!$B$3</f>
        <v>Table 38</v>
      </c>
      <c r="E62" t="str">
        <f>'Eng Table 38'!$C$3</f>
        <v>Sample square distribution</v>
      </c>
    </row>
    <row r="63" spans="2:5" x14ac:dyDescent="0.2">
      <c r="D63" t="s">
        <v>235</v>
      </c>
      <c r="E63" t="s">
        <v>466</v>
      </c>
    </row>
    <row r="64" spans="2:5" x14ac:dyDescent="0.2">
      <c r="D64" t="s">
        <v>237</v>
      </c>
      <c r="E64" t="s">
        <v>467</v>
      </c>
    </row>
    <row r="65" spans="2:5" x14ac:dyDescent="0.2">
      <c r="D65" t="s">
        <v>239</v>
      </c>
      <c r="E65" t="s">
        <v>468</v>
      </c>
    </row>
    <row r="66" spans="2:5" x14ac:dyDescent="0.2">
      <c r="D66" t="s">
        <v>241</v>
      </c>
      <c r="E66" t="s">
        <v>861</v>
      </c>
    </row>
    <row r="67" spans="2:5" x14ac:dyDescent="0.2">
      <c r="D67" t="s">
        <v>243</v>
      </c>
      <c r="E67" t="s">
        <v>167</v>
      </c>
    </row>
    <row r="68" spans="2:5" x14ac:dyDescent="0.2">
      <c r="D68" t="s">
        <v>245</v>
      </c>
      <c r="E68" t="s">
        <v>172</v>
      </c>
    </row>
    <row r="69" spans="2:5" x14ac:dyDescent="0.2">
      <c r="D69" t="s">
        <v>247</v>
      </c>
      <c r="E69" t="s">
        <v>175</v>
      </c>
    </row>
    <row r="70" spans="2:5" x14ac:dyDescent="0.2">
      <c r="D70" t="s">
        <v>250</v>
      </c>
      <c r="E70" t="s">
        <v>178</v>
      </c>
    </row>
    <row r="71" spans="2:5" x14ac:dyDescent="0.2">
      <c r="D71" t="s">
        <v>252</v>
      </c>
      <c r="E71" t="s">
        <v>181</v>
      </c>
    </row>
    <row r="72" spans="2:5" x14ac:dyDescent="0.2">
      <c r="C72" t="str">
        <f>'Eng Table 39'!$B$3</f>
        <v>Table 39</v>
      </c>
      <c r="D72" t="s">
        <v>254</v>
      </c>
      <c r="E72" t="str">
        <f>'Eng Table 39'!$C$3</f>
        <v>Mean yield class by principal tree species (FC and PS)</v>
      </c>
    </row>
    <row r="74" spans="2:5" x14ac:dyDescent="0.2">
      <c r="B74" s="520" t="s">
        <v>454</v>
      </c>
      <c r="C74" s="520"/>
      <c r="D74" s="520"/>
      <c r="E74" s="538" t="s">
        <v>184</v>
      </c>
    </row>
    <row r="75" spans="2:5" x14ac:dyDescent="0.2">
      <c r="C75" t="str">
        <f>'Eng Table 40'!$B$3</f>
        <v>Table 40</v>
      </c>
      <c r="E75" t="str">
        <f>'Eng Table 40'!$C$3</f>
        <v>Standing volume in overdue timber stocks</v>
      </c>
    </row>
    <row r="76" spans="2:5" x14ac:dyDescent="0.2">
      <c r="C76" t="str">
        <f>'Eng Table 41'!$B$3</f>
        <v>Table 41</v>
      </c>
      <c r="E76" t="str">
        <f>'Eng Table 41'!$C$3</f>
        <v>Stocked area of overdue timber stocks</v>
      </c>
    </row>
    <row r="77" spans="2:5" x14ac:dyDescent="0.2">
      <c r="D77" t="s">
        <v>255</v>
      </c>
      <c r="E77" t="s">
        <v>853</v>
      </c>
    </row>
    <row r="78" spans="2:5" x14ac:dyDescent="0.2">
      <c r="D78" t="s">
        <v>256</v>
      </c>
      <c r="E78" t="s">
        <v>854</v>
      </c>
    </row>
    <row r="79" spans="2:5" x14ac:dyDescent="0.2">
      <c r="C79" t="str">
        <f>'Eng Table 42'!$B$3</f>
        <v>Table 42</v>
      </c>
      <c r="E79" t="str">
        <f>'Eng Table 42'!$C$3</f>
        <v>Summary of overdue volume in conifers by aligned area</v>
      </c>
    </row>
    <row r="80" spans="2:5" x14ac:dyDescent="0.2">
      <c r="C80" t="str">
        <f>'Eng Table 43'!$B$3</f>
        <v>Table 43</v>
      </c>
      <c r="E80" t="str">
        <f>'Eng Table 43'!$C$3</f>
        <v>Summary of overdue area in conifers by aligned area</v>
      </c>
    </row>
    <row r="81" spans="2:5" x14ac:dyDescent="0.2">
      <c r="C81" t="str">
        <f>'Eng Table 44'!$B$3</f>
        <v>Table 44</v>
      </c>
      <c r="E81" t="str">
        <f>'Eng Table 44'!$C$3</f>
        <v>Summary of overdue volume in broadleaves by aligned area</v>
      </c>
    </row>
    <row r="82" spans="2:5" x14ac:dyDescent="0.2">
      <c r="C82" t="str">
        <f>'Eng Table 45'!$B$3</f>
        <v>Table 45</v>
      </c>
      <c r="E82" t="str">
        <f>'Eng Table 45'!$C$3</f>
        <v>Summary of overdue area in broadleaves by aligned area</v>
      </c>
    </row>
    <row r="83" spans="2:5" x14ac:dyDescent="0.2">
      <c r="C83" t="str">
        <f>'Eng Table 46'!$B$3</f>
        <v>Table 46</v>
      </c>
      <c r="E83" t="str">
        <f>'Eng Table 46'!$C$3</f>
        <v>Summary of overdue volume by aligned area</v>
      </c>
    </row>
    <row r="84" spans="2:5" x14ac:dyDescent="0.2">
      <c r="C84" t="str">
        <f>'Eng Table 47'!$B$3</f>
        <v>Table 47</v>
      </c>
      <c r="E84" t="str">
        <f>'Eng Table 47'!$C$3</f>
        <v>Summary of overdue area by aligned area</v>
      </c>
    </row>
    <row r="86" spans="2:5" x14ac:dyDescent="0.2">
      <c r="B86" s="514" t="s">
        <v>455</v>
      </c>
      <c r="C86" s="514"/>
      <c r="D86" s="514"/>
      <c r="E86" s="530" t="s">
        <v>444</v>
      </c>
    </row>
    <row r="87" spans="2:5" x14ac:dyDescent="0.2">
      <c r="D87" t="s">
        <v>257</v>
      </c>
      <c r="E87" t="s">
        <v>867</v>
      </c>
    </row>
    <row r="88" spans="2:5" x14ac:dyDescent="0.2">
      <c r="C88" t="str">
        <f>'Eng Table 48'!$B$3</f>
        <v>Table 48</v>
      </c>
      <c r="D88" t="s">
        <v>258</v>
      </c>
      <c r="E88" t="s">
        <v>496</v>
      </c>
    </row>
    <row r="89" spans="2:5" x14ac:dyDescent="0.2">
      <c r="C89" t="str">
        <f>'Eng Table 49'!$B$3</f>
        <v>Table 49</v>
      </c>
      <c r="E89" t="str">
        <f>'Eng Table 49'!$C$3</f>
        <v>25-year forecast of softwood timber availability by principal species; average annual volume within period</v>
      </c>
    </row>
    <row r="90" spans="2:5" x14ac:dyDescent="0.2">
      <c r="C90" t="str">
        <f>'Eng Table 50'!$B$3</f>
        <v>Table 50</v>
      </c>
      <c r="E90" t="str">
        <f>'Eng Table 50'!$C$3</f>
        <v>25–year forecast of softwood timber availability % spruce</v>
      </c>
    </row>
    <row r="91" spans="2:5" x14ac:dyDescent="0.2">
      <c r="C91" t="str">
        <f>'Eng Table 51'!$B$3</f>
        <v>Table 51</v>
      </c>
      <c r="E91" t="str">
        <f>'Eng Table 51'!$C$3</f>
        <v>25-year forecast of softwood timber availability by top diameter class; average annual volume within period</v>
      </c>
    </row>
    <row r="92" spans="2:5" x14ac:dyDescent="0.2">
      <c r="C92" t="str">
        <f>'Eng Table 52'!$B$3</f>
        <v>Table 52</v>
      </c>
      <c r="D92" t="s">
        <v>260</v>
      </c>
      <c r="E92" t="str">
        <f>'Eng Table 52'!$C$3</f>
        <v>25–year forecast of standing volume in conifers; average annual volume within period</v>
      </c>
    </row>
    <row r="93" spans="2:5" x14ac:dyDescent="0.2">
      <c r="C93" t="str">
        <f>'Eng Table 53'!$B$3</f>
        <v>Table 53</v>
      </c>
      <c r="D93" t="s">
        <v>262</v>
      </c>
      <c r="E93" t="str">
        <f>'Eng Table 53'!$C$3</f>
        <v>25-year forecast of net increment in conifers; average annual volume within period</v>
      </c>
    </row>
    <row r="94" spans="2:5" x14ac:dyDescent="0.2">
      <c r="D94" t="s">
        <v>264</v>
      </c>
      <c r="E94" t="s">
        <v>188</v>
      </c>
    </row>
    <row r="95" spans="2:5" x14ac:dyDescent="0.2">
      <c r="D95" t="s">
        <v>266</v>
      </c>
      <c r="E95" t="s">
        <v>863</v>
      </c>
    </row>
    <row r="96" spans="2:5" x14ac:dyDescent="0.2">
      <c r="D96" t="s">
        <v>428</v>
      </c>
      <c r="E96" t="s">
        <v>864</v>
      </c>
    </row>
    <row r="97" spans="2:7" x14ac:dyDescent="0.2">
      <c r="D97" t="s">
        <v>429</v>
      </c>
      <c r="E97" t="s">
        <v>865</v>
      </c>
    </row>
    <row r="98" spans="2:7" x14ac:dyDescent="0.2">
      <c r="C98" t="str">
        <f>'Eng Table 54'!$B$3</f>
        <v>Table 54</v>
      </c>
      <c r="E98" t="str">
        <f>'Eng Table 54'!$C$3</f>
        <v>25-year softwood forecast by aligned area; average annual volume within period</v>
      </c>
    </row>
    <row r="100" spans="2:7" x14ac:dyDescent="0.2">
      <c r="B100" s="515" t="s">
        <v>456</v>
      </c>
      <c r="C100" s="515"/>
      <c r="D100" s="515"/>
      <c r="E100" s="532" t="s">
        <v>445</v>
      </c>
    </row>
    <row r="101" spans="2:7" x14ac:dyDescent="0.2">
      <c r="D101" t="s">
        <v>469</v>
      </c>
      <c r="E101" t="s">
        <v>875</v>
      </c>
    </row>
    <row r="102" spans="2:7" x14ac:dyDescent="0.2">
      <c r="C102" t="str">
        <f>'Eng Table 55'!$B$3</f>
        <v>Table 55</v>
      </c>
      <c r="D102" t="s">
        <v>470</v>
      </c>
      <c r="E102" t="str">
        <f>'Eng Table 55'!$C$3</f>
        <v>50–year forecast of softwood timber availability; average annual volume within period</v>
      </c>
    </row>
    <row r="103" spans="2:7" x14ac:dyDescent="0.2">
      <c r="C103" t="str">
        <f>'Eng Table 56'!$B$3</f>
        <v>Table 56</v>
      </c>
      <c r="E103" t="str">
        <f>'Eng Table 56'!$C$3</f>
        <v>50-year forecast of softwood timber availability by principal species; average annual volume within period</v>
      </c>
    </row>
    <row r="104" spans="2:7" x14ac:dyDescent="0.2">
      <c r="C104" t="str">
        <f>'Eng Table 57'!$B$3</f>
        <v>Table 57</v>
      </c>
      <c r="E104" t="str">
        <f>'Eng Table 57'!$C$3</f>
        <v>50–year forecast of softwood timber availability % spruce</v>
      </c>
    </row>
    <row r="105" spans="2:7" x14ac:dyDescent="0.2">
      <c r="C105" t="str">
        <f>'Eng Table 58'!$B$3</f>
        <v>Table 58</v>
      </c>
      <c r="D105" t="s">
        <v>471</v>
      </c>
      <c r="E105" t="str">
        <f>'Eng Table 58'!$C$3</f>
        <v>50-year forecast of standing volume in conifers; average annual volume within period</v>
      </c>
    </row>
    <row r="106" spans="2:7" x14ac:dyDescent="0.2">
      <c r="C106" t="str">
        <f>'Eng Table 59'!$B$3</f>
        <v>Table 59</v>
      </c>
      <c r="D106" t="s">
        <v>472</v>
      </c>
      <c r="E106" t="str">
        <f>'Eng Table 59'!$C$3</f>
        <v>50-year forecast of net increment in conifers; average annual volume within period</v>
      </c>
    </row>
    <row r="107" spans="2:7" x14ac:dyDescent="0.2">
      <c r="D107" t="s">
        <v>497</v>
      </c>
      <c r="E107" t="s">
        <v>188</v>
      </c>
    </row>
    <row r="108" spans="2:7" x14ac:dyDescent="0.2">
      <c r="D108" t="s">
        <v>498</v>
      </c>
      <c r="E108" t="s">
        <v>872</v>
      </c>
    </row>
    <row r="109" spans="2:7" x14ac:dyDescent="0.2">
      <c r="D109" t="s">
        <v>499</v>
      </c>
      <c r="E109" t="s">
        <v>873</v>
      </c>
    </row>
    <row r="110" spans="2:7" x14ac:dyDescent="0.2">
      <c r="D110" t="s">
        <v>631</v>
      </c>
      <c r="E110" t="s">
        <v>874</v>
      </c>
    </row>
    <row r="111" spans="2:7" x14ac:dyDescent="0.2">
      <c r="C111" t="str">
        <f>'Eng Table 60'!$B$3</f>
        <v>Table 60</v>
      </c>
      <c r="E111" t="str">
        <f>'Eng Table 60'!$C$3</f>
        <v>50-year softwood forecast by aligned area; average annual volume within period</v>
      </c>
    </row>
    <row r="112" spans="2:7" x14ac:dyDescent="0.2">
      <c r="G112" s="326"/>
    </row>
    <row r="113" spans="2:7" x14ac:dyDescent="0.2">
      <c r="B113" s="516" t="s">
        <v>457</v>
      </c>
      <c r="C113" s="516"/>
      <c r="D113" s="516"/>
      <c r="E113" s="533" t="s">
        <v>446</v>
      </c>
      <c r="G113" s="326"/>
    </row>
    <row r="114" spans="2:7" x14ac:dyDescent="0.2">
      <c r="D114" t="s">
        <v>632</v>
      </c>
      <c r="E114" t="s">
        <v>876</v>
      </c>
      <c r="G114" s="326"/>
    </row>
    <row r="115" spans="2:7" x14ac:dyDescent="0.2">
      <c r="C115" t="str">
        <f>'Eng Table 61'!$B$3</f>
        <v>Table 61</v>
      </c>
      <c r="D115" t="s">
        <v>633</v>
      </c>
      <c r="E115" t="str">
        <f>'Eng Table 61'!$C$3</f>
        <v>50–year forecast of hardwood timber availability; average annual volume within period</v>
      </c>
    </row>
    <row r="116" spans="2:7" x14ac:dyDescent="0.2">
      <c r="C116" t="str">
        <f>'Eng Table 62'!$B$3</f>
        <v>Table 62</v>
      </c>
      <c r="E116" t="str">
        <f>'Eng Table 62'!$C$3</f>
        <v>50-year forecast of hardwood timber availability by principal species; average annual volume within period</v>
      </c>
    </row>
    <row r="117" spans="2:7" x14ac:dyDescent="0.2">
      <c r="C117" t="str">
        <f>'Eng Table 63'!$B$3</f>
        <v>Table 63</v>
      </c>
      <c r="E117" t="str">
        <f>'Eng Table 63'!$C$3</f>
        <v>50-year forecast of hardwood timber availability by top diameter class; average annual volume within period</v>
      </c>
    </row>
    <row r="118" spans="2:7" x14ac:dyDescent="0.2">
      <c r="C118" t="str">
        <f>'Eng Table 64'!$B$3</f>
        <v>Table 64</v>
      </c>
      <c r="D118" t="s">
        <v>634</v>
      </c>
      <c r="E118" t="str">
        <f>'Eng Table 64'!$C$3</f>
        <v>50–year forecast of standing volume in broadleaves; average annual volume within period</v>
      </c>
    </row>
    <row r="119" spans="2:7" x14ac:dyDescent="0.2">
      <c r="C119" t="str">
        <f>'Eng Table 65'!$B$3</f>
        <v>Table 65</v>
      </c>
      <c r="E119" t="str">
        <f>'Eng Table 65'!$C$3</f>
        <v>50-year forecast of standing volume in broadleaves by principal species; average annual volume within period</v>
      </c>
    </row>
    <row r="120" spans="2:7" x14ac:dyDescent="0.2">
      <c r="C120" t="str">
        <f>'Eng Table 66'!$B$3</f>
        <v>Table 66</v>
      </c>
      <c r="D120" t="s">
        <v>635</v>
      </c>
      <c r="E120" t="str">
        <f>'Eng Table 66'!$C$3</f>
        <v>50–year forecast of net increment in broadleaves; average annual volume within period</v>
      </c>
    </row>
    <row r="121" spans="2:7" x14ac:dyDescent="0.2">
      <c r="C121" t="str">
        <f>'Eng Table 67'!$B$3</f>
        <v>Table 67</v>
      </c>
      <c r="E121" t="str">
        <f>'Eng Table 67'!$C$3</f>
        <v>50–year forecast of net increment in broadleaves by principal species; average annual volume within period</v>
      </c>
    </row>
    <row r="122" spans="2:7" x14ac:dyDescent="0.2">
      <c r="D122" t="s">
        <v>636</v>
      </c>
      <c r="E122" t="s">
        <v>188</v>
      </c>
    </row>
    <row r="123" spans="2:7" x14ac:dyDescent="0.2">
      <c r="D123" t="s">
        <v>637</v>
      </c>
      <c r="E123" t="s">
        <v>882</v>
      </c>
    </row>
    <row r="124" spans="2:7" x14ac:dyDescent="0.2">
      <c r="D124" t="s">
        <v>880</v>
      </c>
      <c r="E124" t="s">
        <v>883</v>
      </c>
    </row>
    <row r="125" spans="2:7" x14ac:dyDescent="0.2">
      <c r="D125" t="s">
        <v>881</v>
      </c>
      <c r="E125" t="s">
        <v>884</v>
      </c>
    </row>
    <row r="126" spans="2:7" x14ac:dyDescent="0.2">
      <c r="C126" t="str">
        <f>'Eng Table 68'!$B$3</f>
        <v>Table 68</v>
      </c>
      <c r="E126" t="str">
        <f>'Eng Table 68'!$C$3</f>
        <v>50-year hardwood forecast by aligned area; average annual volume within period</v>
      </c>
    </row>
    <row r="128" spans="2:7" x14ac:dyDescent="0.2">
      <c r="B128" s="517" t="s">
        <v>458</v>
      </c>
      <c r="C128" s="517"/>
      <c r="D128" s="517"/>
      <c r="E128" s="534" t="s">
        <v>894</v>
      </c>
    </row>
    <row r="129" spans="2:5" x14ac:dyDescent="0.2">
      <c r="C129" t="str">
        <f>'Eng Table 69'!$B$3</f>
        <v>Table 69</v>
      </c>
      <c r="D129" t="s">
        <v>887</v>
      </c>
      <c r="E129" t="str">
        <f>'Eng Table 69'!$C$3</f>
        <v>Stocked area of ash by age class</v>
      </c>
    </row>
    <row r="130" spans="2:5" x14ac:dyDescent="0.2">
      <c r="C130" t="str">
        <f>'Eng Table 70'!$B$3</f>
        <v>Table 70</v>
      </c>
      <c r="D130" t="s">
        <v>888</v>
      </c>
      <c r="E130" t="str">
        <f>'Eng Table 70'!$C$3</f>
        <v>Stocked area of ash by mean stand dbh class</v>
      </c>
    </row>
    <row r="131" spans="2:5" x14ac:dyDescent="0.2">
      <c r="C131" t="str">
        <f>'Eng Table 71'!$B$3</f>
        <v>Table 71</v>
      </c>
      <c r="D131" t="s">
        <v>889</v>
      </c>
      <c r="E131" t="str">
        <f>'Eng Table 71'!$C$3</f>
        <v>Standing volume of ash by age class</v>
      </c>
    </row>
    <row r="132" spans="2:5" x14ac:dyDescent="0.2">
      <c r="C132" t="str">
        <f>'Eng Table 72'!$B$3</f>
        <v>Table 72</v>
      </c>
      <c r="D132" t="s">
        <v>890</v>
      </c>
      <c r="E132" t="str">
        <f>'Eng Table 72'!$C$3</f>
        <v>Standing volume of ash by mean stand dbh class</v>
      </c>
    </row>
    <row r="133" spans="2:5" x14ac:dyDescent="0.2">
      <c r="C133" t="str">
        <f>'Eng Table 73'!$B$3</f>
        <v>Table 73</v>
      </c>
      <c r="D133" t="s">
        <v>891</v>
      </c>
      <c r="E133" t="str">
        <f>'Eng Table 73'!$C$3</f>
        <v>Number of ash trees by age class</v>
      </c>
    </row>
    <row r="134" spans="2:5" x14ac:dyDescent="0.2">
      <c r="C134" t="str">
        <f>'Eng Table 74'!$B$3</f>
        <v>Table 74</v>
      </c>
      <c r="D134" t="s">
        <v>892</v>
      </c>
      <c r="E134" t="str">
        <f>'Eng Table 74'!$C$3</f>
        <v>Number of ash trees by mean stand dbh class</v>
      </c>
    </row>
    <row r="135" spans="2:5" x14ac:dyDescent="0.2">
      <c r="D135" t="s">
        <v>893</v>
      </c>
      <c r="E135" t="s">
        <v>396</v>
      </c>
    </row>
    <row r="136" spans="2:5" x14ac:dyDescent="0.2">
      <c r="C136" t="str">
        <f>'Eng Table 75'!$B$3</f>
        <v>Table 75</v>
      </c>
      <c r="D136" t="s">
        <v>899</v>
      </c>
      <c r="E136" t="str">
        <f>'Eng Table 75'!$C$3</f>
        <v>Ash as a proportion of woodland within aligned areas (based on stocked area)</v>
      </c>
    </row>
    <row r="137" spans="2:5" x14ac:dyDescent="0.2">
      <c r="C137" t="str">
        <f>'Eng Table 76'!$B$3</f>
        <v>Table 76</v>
      </c>
      <c r="D137" t="s">
        <v>901</v>
      </c>
      <c r="E137" t="str">
        <f>'Eng Table 76'!$C$3</f>
        <v>Ash as a proportion of woodland within aligned areas (based on standing volume)</v>
      </c>
    </row>
    <row r="138" spans="2:5" x14ac:dyDescent="0.2">
      <c r="C138" t="str">
        <f>'Eng Table 77'!$B$3</f>
        <v>Table 77</v>
      </c>
      <c r="D138" t="s">
        <v>902</v>
      </c>
      <c r="E138" t="str">
        <f>'Eng Table 77'!$C$3</f>
        <v>Ash as a proportion of woodland within aligned areas (based on number of trees)</v>
      </c>
    </row>
    <row r="140" spans="2:5" x14ac:dyDescent="0.2">
      <c r="B140" s="518" t="s">
        <v>459</v>
      </c>
      <c r="C140" s="518"/>
      <c r="D140" s="518"/>
      <c r="E140" s="535" t="s">
        <v>895</v>
      </c>
    </row>
    <row r="141" spans="2:5" x14ac:dyDescent="0.2">
      <c r="C141" t="str">
        <f>'Eng Table 78'!$B$3</f>
        <v>Table 78</v>
      </c>
      <c r="D141" t="s">
        <v>904</v>
      </c>
      <c r="E141" t="str">
        <f>'Eng Table 78'!$C$3</f>
        <v>Stocked area of oak by age class</v>
      </c>
    </row>
    <row r="142" spans="2:5" x14ac:dyDescent="0.2">
      <c r="C142" t="str">
        <f>'Eng Table 79'!$B$3</f>
        <v>Table 79</v>
      </c>
      <c r="D142" t="s">
        <v>905</v>
      </c>
      <c r="E142" t="str">
        <f>'Eng Table 79'!$C$3</f>
        <v>Stocked area of oak by mean stand dbh class</v>
      </c>
    </row>
    <row r="143" spans="2:5" x14ac:dyDescent="0.2">
      <c r="C143" t="str">
        <f>'Table 80'!$B$3</f>
        <v>Table 80</v>
      </c>
      <c r="D143" t="s">
        <v>906</v>
      </c>
      <c r="E143" t="str">
        <f>'Table 80'!$C$3</f>
        <v>Standing volume of oak by age class</v>
      </c>
    </row>
    <row r="144" spans="2:5" x14ac:dyDescent="0.2">
      <c r="C144" t="str">
        <f>'Eng Table 81'!$B$3</f>
        <v>Table 81</v>
      </c>
      <c r="D144" t="s">
        <v>907</v>
      </c>
      <c r="E144" t="str">
        <f>'Eng Table 81'!$C$3</f>
        <v>Standing volume of oak by mean stand dbh class</v>
      </c>
    </row>
    <row r="145" spans="2:5" x14ac:dyDescent="0.2">
      <c r="C145" t="str">
        <f>'Eng Table 82'!$B$3</f>
        <v>Table 82</v>
      </c>
      <c r="D145" t="s">
        <v>908</v>
      </c>
      <c r="E145" t="str">
        <f>'Eng Table 82'!$C$3</f>
        <v>Number of oak trees by age class</v>
      </c>
    </row>
    <row r="146" spans="2:5" x14ac:dyDescent="0.2">
      <c r="C146" t="str">
        <f>'Eng Table 83'!$B$3</f>
        <v>Table 83</v>
      </c>
      <c r="D146" t="s">
        <v>909</v>
      </c>
      <c r="E146" t="str">
        <f>'Eng Table 83'!$C$3</f>
        <v>Number of oak trees by mean stand dbh class</v>
      </c>
    </row>
    <row r="147" spans="2:5" x14ac:dyDescent="0.2">
      <c r="D147" t="s">
        <v>910</v>
      </c>
      <c r="E147" t="s">
        <v>411</v>
      </c>
    </row>
    <row r="148" spans="2:5" x14ac:dyDescent="0.2">
      <c r="C148" t="str">
        <f>'Eng Table 84'!$B$3</f>
        <v>Table 84</v>
      </c>
      <c r="D148" t="s">
        <v>911</v>
      </c>
      <c r="E148" t="str">
        <f>'Eng Table 84'!$C$3</f>
        <v>Oak as a proportion of woodland within aligned areas (based on stocked area)</v>
      </c>
    </row>
    <row r="149" spans="2:5" x14ac:dyDescent="0.2">
      <c r="C149" t="str">
        <f>'Eng Table 85'!$B$3</f>
        <v>Table 85</v>
      </c>
      <c r="D149" t="s">
        <v>912</v>
      </c>
      <c r="E149" t="str">
        <f>'Eng Table 85'!$C$3</f>
        <v>Oak as a proportion of woodland within aligned areas (based on standing volume)</v>
      </c>
    </row>
    <row r="150" spans="2:5" x14ac:dyDescent="0.2">
      <c r="C150" t="str">
        <f>'Eng Table 86'!$B$3</f>
        <v>Table 86</v>
      </c>
      <c r="D150" t="s">
        <v>913</v>
      </c>
      <c r="E150" t="str">
        <f>'Eng Table 86'!$C$3</f>
        <v>Oak as a proportion of woodland within aligned areas (based on number of trees)</v>
      </c>
    </row>
    <row r="152" spans="2:5" x14ac:dyDescent="0.2">
      <c r="B152" s="519" t="s">
        <v>460</v>
      </c>
      <c r="C152" s="519"/>
      <c r="D152" s="519"/>
      <c r="E152" s="536" t="s">
        <v>896</v>
      </c>
    </row>
    <row r="153" spans="2:5" x14ac:dyDescent="0.2">
      <c r="C153" t="str">
        <f>'Eng Table 87'!$B$3</f>
        <v>Table 87</v>
      </c>
      <c r="D153" t="s">
        <v>925</v>
      </c>
      <c r="E153" t="str">
        <f>'Eng Table 87'!$C$3</f>
        <v>Stocked area of sweet chestnut by age class</v>
      </c>
    </row>
    <row r="154" spans="2:5" x14ac:dyDescent="0.2">
      <c r="C154" t="str">
        <f>'Table 88'!$B$3</f>
        <v>Table 88</v>
      </c>
      <c r="D154" t="s">
        <v>926</v>
      </c>
      <c r="E154" t="str">
        <f>'Table 88'!$C$3</f>
        <v>Stocked area of sweet chestnut by mean stand dbh class</v>
      </c>
    </row>
    <row r="155" spans="2:5" x14ac:dyDescent="0.2">
      <c r="C155" t="str">
        <f>'Table 89'!$B$3</f>
        <v>Table 89</v>
      </c>
      <c r="D155" t="s">
        <v>927</v>
      </c>
      <c r="E155" t="str">
        <f>'Table 89'!$C$3</f>
        <v>Standing volume of sweet chestnut by age class</v>
      </c>
    </row>
    <row r="156" spans="2:5" x14ac:dyDescent="0.2">
      <c r="C156" t="str">
        <f>'Eng Table 90'!$B$3</f>
        <v>Table 90</v>
      </c>
      <c r="D156" t="s">
        <v>928</v>
      </c>
      <c r="E156" t="str">
        <f>'Eng Table 90'!$C$3</f>
        <v>Standing volume of sweet chestnut by mean stand dbh class</v>
      </c>
    </row>
    <row r="157" spans="2:5" x14ac:dyDescent="0.2">
      <c r="C157" t="str">
        <f>'Table 91'!$B$3</f>
        <v>Table 91</v>
      </c>
      <c r="D157" t="s">
        <v>929</v>
      </c>
      <c r="E157" t="str">
        <f>'Table 91'!$C$3</f>
        <v>Number of sweet chestnut trees by age class</v>
      </c>
    </row>
    <row r="158" spans="2:5" x14ac:dyDescent="0.2">
      <c r="C158" t="str">
        <f>'Eng Table 92'!$B$3</f>
        <v>Table 92</v>
      </c>
      <c r="D158" t="s">
        <v>930</v>
      </c>
      <c r="E158" t="str">
        <f>'Eng Table 92'!$C$3</f>
        <v>Number of sweet chestnut trees by mean stand dbh class</v>
      </c>
    </row>
    <row r="159" spans="2:5" x14ac:dyDescent="0.2">
      <c r="D159" t="s">
        <v>931</v>
      </c>
      <c r="E159" t="s">
        <v>419</v>
      </c>
    </row>
    <row r="160" spans="2:5" x14ac:dyDescent="0.2">
      <c r="C160" t="str">
        <f>'Eng Table 93'!$B$3</f>
        <v>Table 93</v>
      </c>
      <c r="D160" t="s">
        <v>932</v>
      </c>
      <c r="E160" t="str">
        <f>'Eng Table 93'!$C$3</f>
        <v>Sweet chestnut as a proportion of woodland within aligned areas (based on stocked area)</v>
      </c>
    </row>
    <row r="161" spans="2:5" x14ac:dyDescent="0.2">
      <c r="C161" t="str">
        <f>'Eng Table 94'!$B$3</f>
        <v>Table 94</v>
      </c>
      <c r="D161" t="s">
        <v>933</v>
      </c>
      <c r="E161" t="str">
        <f>'Eng Table 94'!$C$3</f>
        <v>Sweet chestnut as a proportion of woodland within aligned areas (based on standing volume)</v>
      </c>
    </row>
    <row r="162" spans="2:5" x14ac:dyDescent="0.2">
      <c r="C162" t="str">
        <f>'Eng Table 95'!$B$3</f>
        <v>Table 95</v>
      </c>
      <c r="D162" t="s">
        <v>934</v>
      </c>
      <c r="E162" t="str">
        <f>'Eng Table 95'!$C$3</f>
        <v>Sweet chestnut as a proportion of woodland within aligned areas (based on number of trees)</v>
      </c>
    </row>
    <row r="164" spans="2:5" x14ac:dyDescent="0.2">
      <c r="B164" s="521" t="s">
        <v>630</v>
      </c>
      <c r="C164" s="521"/>
      <c r="D164" s="521"/>
      <c r="E164" s="537" t="s">
        <v>897</v>
      </c>
    </row>
    <row r="165" spans="2:5" x14ac:dyDescent="0.2">
      <c r="C165" t="str">
        <f>'Table 96'!$B$3</f>
        <v>Table 96</v>
      </c>
      <c r="D165" t="s">
        <v>946</v>
      </c>
      <c r="E165" t="str">
        <f>'Table 96'!$C$3</f>
        <v>Stocked area of larch by age class</v>
      </c>
    </row>
    <row r="166" spans="2:5" x14ac:dyDescent="0.2">
      <c r="C166" t="str">
        <f>'Table 97'!$B$3</f>
        <v>Table 97</v>
      </c>
      <c r="D166" t="s">
        <v>947</v>
      </c>
      <c r="E166" t="str">
        <f>'Table 97'!$C$3</f>
        <v>Stocked area of larch by mean stand dbh class</v>
      </c>
    </row>
    <row r="167" spans="2:5" x14ac:dyDescent="0.2">
      <c r="C167" t="str">
        <f>'Table 98'!$B$3</f>
        <v>Table 98</v>
      </c>
      <c r="D167" t="s">
        <v>948</v>
      </c>
      <c r="E167" t="str">
        <f>'Table 98'!$C$3</f>
        <v>Standing volume of larch by age class</v>
      </c>
    </row>
    <row r="168" spans="2:5" x14ac:dyDescent="0.2">
      <c r="C168" t="str">
        <f>'Table 99'!$B$3</f>
        <v>Table 99</v>
      </c>
      <c r="D168" t="s">
        <v>949</v>
      </c>
      <c r="E168" t="str">
        <f>'Table 99'!$C$3</f>
        <v>Standing volume of larch by mean stand dbh class</v>
      </c>
    </row>
    <row r="169" spans="2:5" x14ac:dyDescent="0.2">
      <c r="C169" t="str">
        <f>'Eng Table 100'!$B$3</f>
        <v>Table 100</v>
      </c>
      <c r="D169" t="s">
        <v>950</v>
      </c>
      <c r="E169" t="str">
        <f>'Eng Table 100'!$C$3</f>
        <v>Number of larch trees by age class</v>
      </c>
    </row>
    <row r="170" spans="2:5" x14ac:dyDescent="0.2">
      <c r="C170" t="str">
        <f>'Eng Table 101'!$B$3</f>
        <v>Table 101</v>
      </c>
      <c r="D170" t="s">
        <v>951</v>
      </c>
      <c r="E170" t="str">
        <f>'Eng Table 101'!$C$3</f>
        <v>Number of larch trees by mean stand dbh class</v>
      </c>
    </row>
    <row r="171" spans="2:5" x14ac:dyDescent="0.2">
      <c r="D171" t="s">
        <v>952</v>
      </c>
      <c r="E171" t="s">
        <v>962</v>
      </c>
    </row>
    <row r="172" spans="2:5" x14ac:dyDescent="0.2">
      <c r="C172" t="str">
        <f>'Eng Table 102'!$B$3</f>
        <v>Table 102</v>
      </c>
      <c r="D172" t="s">
        <v>953</v>
      </c>
      <c r="E172" t="str">
        <f>'Eng Table 102'!$C$3</f>
        <v>Larch as a proportion of woodland within aligned areas (based on stocked area)</v>
      </c>
    </row>
    <row r="173" spans="2:5" x14ac:dyDescent="0.2">
      <c r="C173" t="str">
        <f>'Eng Table 103'!$B$3</f>
        <v>Table 103</v>
      </c>
      <c r="D173" t="s">
        <v>954</v>
      </c>
      <c r="E173" t="str">
        <f>'Eng Table 103'!$C$3</f>
        <v>Larch as a proportion of woodland within aligned areas (based on standing volume)</v>
      </c>
    </row>
    <row r="174" spans="2:5" x14ac:dyDescent="0.2">
      <c r="C174" t="str">
        <f>'Eng Table 104 '!$B$3</f>
        <v>Table 104</v>
      </c>
      <c r="D174" t="s">
        <v>955</v>
      </c>
      <c r="E174" t="str">
        <f>'Eng Table 104 '!$C$3</f>
        <v>Larch as a proportion of woodland within aligned areas (based on number of trees)</v>
      </c>
    </row>
    <row r="176" spans="2:5" x14ac:dyDescent="0.2">
      <c r="B176" s="520" t="s">
        <v>975</v>
      </c>
      <c r="C176" s="520"/>
      <c r="D176" s="520"/>
      <c r="E176" s="520" t="s">
        <v>976</v>
      </c>
    </row>
    <row r="177" spans="2:5" x14ac:dyDescent="0.2">
      <c r="C177" t="str">
        <f>'Eng Table 105'!$B$3</f>
        <v>Table 105</v>
      </c>
      <c r="E177" t="str">
        <f>'Eng Table 105'!$C$3</f>
        <v>Aligned area long and short names</v>
      </c>
    </row>
    <row r="179" spans="2:5" ht="15" x14ac:dyDescent="0.2">
      <c r="B179" s="1163" t="s">
        <v>991</v>
      </c>
      <c r="C179" s="1164"/>
      <c r="D179" s="1164"/>
      <c r="E179" s="1164"/>
    </row>
  </sheetData>
  <mergeCells count="3">
    <mergeCell ref="B2:E2"/>
    <mergeCell ref="B4:E4"/>
    <mergeCell ref="B179:E179"/>
  </mergeCells>
  <hyperlinks>
    <hyperlink ref="E6" location="'Section 1'!A1" display="Woodland area statistics"/>
    <hyperlink ref="E19" location="'Section 2'!A1" display="Net area under canopy"/>
    <hyperlink ref="E31" location="'Section 3'!A1" display="Standing volume"/>
    <hyperlink ref="E41" location="'Section 4'!A1" display="Number of trees"/>
    <hyperlink ref="E49" location="'Section 5'!A1" display="Biomass stocks in live standing trees"/>
    <hyperlink ref="E55" location="'Section 6'!A1" display="Carbon stocks in live standing trees"/>
    <hyperlink ref="E61" location="'Section 7'!A1" display="Existing woodland management information and economic viability data (PS only)"/>
    <hyperlink ref="E74" location="'Section 8'!A1" display="Overdue timber stocks"/>
    <hyperlink ref="E86" location="'Section 9'!A1" display="25-year softwood forecast"/>
    <hyperlink ref="E100" location="'Section 10'!A1" display="50-year softwood forecast"/>
    <hyperlink ref="E113" location="'Section 11'!A1" display="50-year hardwood forecast"/>
    <hyperlink ref="E128" location="'Section 12'!A1" display="Plant health - ash"/>
    <hyperlink ref="E140" location="'Section 13'!A1" display="Plant health - oak"/>
    <hyperlink ref="E152" location="'Section 14'!A1" display="Plant health - sweet chestnut"/>
    <hyperlink ref="E164" location="'Section 15'!A1" display="Plant health - larch"/>
  </hyperlinks>
  <printOptions gridLines="1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Index!$E$6</f>
        <v>Woodland area statistics</v>
      </c>
    </row>
  </sheetData>
  <hyperlinks>
    <hyperlink ref="A1" location="Index!B6" display="Return to index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59999389629810485"/>
  </sheetPr>
  <dimension ref="B3:D14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7</v>
      </c>
      <c r="C3" t="s">
        <v>8</v>
      </c>
    </row>
    <row r="5" spans="2:4" ht="15" customHeight="1" x14ac:dyDescent="0.2">
      <c r="B5" s="480" t="s">
        <v>0</v>
      </c>
      <c r="C5" s="481" t="s">
        <v>1</v>
      </c>
      <c r="D5" s="482" t="s">
        <v>2</v>
      </c>
    </row>
    <row r="6" spans="2:4" ht="15" customHeight="1" x14ac:dyDescent="0.2">
      <c r="B6" s="487" t="str">
        <f>Index!$B$4</f>
        <v>England</v>
      </c>
      <c r="C6" s="487"/>
      <c r="D6" s="487"/>
    </row>
    <row r="7" spans="2:4" ht="15" customHeight="1" x14ac:dyDescent="0.2">
      <c r="B7" s="28" t="s">
        <v>3</v>
      </c>
      <c r="C7" s="477">
        <v>1265773.634625088</v>
      </c>
      <c r="D7" s="483">
        <v>0.97542359646610322</v>
      </c>
    </row>
    <row r="8" spans="2:4" ht="15" customHeight="1" x14ac:dyDescent="0.2">
      <c r="B8" s="28" t="s">
        <v>4</v>
      </c>
      <c r="C8" s="477">
        <v>27792.398034285721</v>
      </c>
      <c r="D8" s="483">
        <v>2.1417226669482661E-2</v>
      </c>
    </row>
    <row r="9" spans="2:4" ht="15" customHeight="1" x14ac:dyDescent="0.2">
      <c r="B9" s="28" t="s">
        <v>5</v>
      </c>
      <c r="C9" s="477">
        <v>4099.5551026040639</v>
      </c>
      <c r="D9" s="483">
        <v>3.1591768644141766E-3</v>
      </c>
    </row>
    <row r="10" spans="2:4" ht="15" customHeight="1" x14ac:dyDescent="0.2">
      <c r="B10" s="118" t="s">
        <v>6</v>
      </c>
      <c r="C10" s="87">
        <v>1297665.5877619777</v>
      </c>
      <c r="D10" s="484">
        <v>1</v>
      </c>
    </row>
    <row r="11" spans="2:4" ht="15" customHeight="1" x14ac:dyDescent="0.2">
      <c r="B11" s="28" t="s">
        <v>689</v>
      </c>
      <c r="C11" s="477">
        <f>C12-C10</f>
        <v>11730201.397138022</v>
      </c>
      <c r="D11" s="483"/>
    </row>
    <row r="12" spans="2:4" ht="15" customHeight="1" x14ac:dyDescent="0.2">
      <c r="B12" s="28" t="s">
        <v>308</v>
      </c>
      <c r="C12" s="477">
        <v>13027866.9849</v>
      </c>
      <c r="D12" s="483"/>
    </row>
    <row r="13" spans="2:4" ht="15" customHeight="1" x14ac:dyDescent="0.2">
      <c r="B13" s="485" t="s">
        <v>690</v>
      </c>
      <c r="C13" s="229"/>
      <c r="D13" s="486">
        <f>C10/C12</f>
        <v>9.9606911036629567E-2</v>
      </c>
    </row>
    <row r="14" spans="2:4" ht="15" customHeight="1" x14ac:dyDescent="0.2">
      <c r="B14" s="485" t="s">
        <v>691</v>
      </c>
      <c r="C14" s="229"/>
      <c r="D14" s="486">
        <f>C11/C12</f>
        <v>0.90039308896337045</v>
      </c>
    </row>
  </sheetData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5AC663E7-DF8C-41D1-9D3E-2112E7F38C82}">
            <xm:f>Sheet1!$D$4</xm:f>
            <xm:f>Sheet1!$E$4</xm:f>
            <x14:dxf>
              <numFmt numFmtId="173" formatCode="&quot;&lt; 1&quot;"/>
            </x14:dxf>
          </x14:cfRule>
          <xm:sqref>C7:C12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</sheetPr>
  <dimension ref="B3:D9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14</v>
      </c>
      <c r="C3" t="s">
        <v>15</v>
      </c>
    </row>
    <row r="5" spans="2:4" ht="30" customHeight="1" x14ac:dyDescent="0.2">
      <c r="B5" s="453" t="s">
        <v>9</v>
      </c>
      <c r="C5" s="452" t="s">
        <v>1</v>
      </c>
      <c r="D5" s="453" t="s">
        <v>10</v>
      </c>
    </row>
    <row r="6" spans="2:4" ht="15" customHeight="1" x14ac:dyDescent="0.2">
      <c r="B6" s="490" t="str">
        <f>Index!$B$4</f>
        <v>England</v>
      </c>
      <c r="C6" s="487"/>
      <c r="D6" s="487"/>
    </row>
    <row r="7" spans="2:4" ht="15" customHeight="1" x14ac:dyDescent="0.2">
      <c r="B7" s="488" t="s">
        <v>11</v>
      </c>
      <c r="C7" s="477">
        <v>214420.32243478103</v>
      </c>
      <c r="D7" s="478">
        <v>0.16523542309893685</v>
      </c>
    </row>
    <row r="8" spans="2:4" ht="15" customHeight="1" x14ac:dyDescent="0.2">
      <c r="B8" s="488" t="s">
        <v>12</v>
      </c>
      <c r="C8" s="477">
        <v>1083245.265327197</v>
      </c>
      <c r="D8" s="478">
        <v>0.83476457690106309</v>
      </c>
    </row>
    <row r="9" spans="2:4" ht="15" customHeight="1" x14ac:dyDescent="0.2">
      <c r="B9" s="72" t="s">
        <v>13</v>
      </c>
      <c r="C9" s="87">
        <v>1297665.5877619782</v>
      </c>
      <c r="D9" s="47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06D8AB9-3173-4BCC-8BC4-1AD4323FF3DA}">
            <xm:f>Sheet1!$D$4</xm:f>
            <xm:f>Sheet1!$E$4</xm:f>
            <x14:dxf>
              <numFmt numFmtId="173" formatCode="&quot;&lt; 1&quot;"/>
            </x14:dxf>
          </x14:cfRule>
          <xm:sqref>C7:C9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Q21"/>
  <sheetViews>
    <sheetView zoomScale="90" zoomScaleNormal="90" workbookViewId="0"/>
  </sheetViews>
  <sheetFormatPr defaultRowHeight="15" customHeight="1" x14ac:dyDescent="0.2"/>
  <cols>
    <col min="2" max="2" width="32" customWidth="1"/>
    <col min="3" max="7" width="12.625" customWidth="1"/>
    <col min="12" max="12" width="32.625" customWidth="1"/>
    <col min="13" max="17" width="12.625" customWidth="1"/>
  </cols>
  <sheetData>
    <row r="2" spans="2:17" ht="15" customHeight="1" x14ac:dyDescent="0.2">
      <c r="I2" t="s">
        <v>814</v>
      </c>
    </row>
    <row r="3" spans="2:17" ht="15" customHeight="1" x14ac:dyDescent="0.2">
      <c r="B3" t="s">
        <v>31</v>
      </c>
      <c r="C3" t="s">
        <v>815</v>
      </c>
    </row>
    <row r="5" spans="2:17" ht="30" customHeight="1" x14ac:dyDescent="0.2">
      <c r="B5" s="1033" t="s">
        <v>9</v>
      </c>
      <c r="C5" s="1032" t="s">
        <v>78</v>
      </c>
      <c r="D5" s="1033"/>
      <c r="E5" s="1032" t="s">
        <v>309</v>
      </c>
      <c r="F5" s="1033"/>
      <c r="G5" s="933" t="s">
        <v>80</v>
      </c>
      <c r="L5" s="1033" t="s">
        <v>9</v>
      </c>
      <c r="M5" s="1032" t="s">
        <v>78</v>
      </c>
      <c r="N5" s="1033"/>
      <c r="O5" s="1032" t="s">
        <v>309</v>
      </c>
      <c r="P5" s="1033"/>
      <c r="Q5" s="933" t="s">
        <v>80</v>
      </c>
    </row>
    <row r="6" spans="2:17" ht="15" customHeight="1" x14ac:dyDescent="0.2">
      <c r="B6" s="1034"/>
      <c r="C6" s="935" t="s">
        <v>757</v>
      </c>
      <c r="D6" s="934" t="s">
        <v>2</v>
      </c>
      <c r="E6" s="935" t="s">
        <v>757</v>
      </c>
      <c r="F6" s="934" t="s">
        <v>2</v>
      </c>
      <c r="G6" s="935" t="s">
        <v>757</v>
      </c>
      <c r="L6" s="1034"/>
      <c r="M6" s="935" t="s">
        <v>757</v>
      </c>
      <c r="N6" s="934" t="s">
        <v>2</v>
      </c>
      <c r="O6" s="935" t="s">
        <v>757</v>
      </c>
      <c r="P6" s="934" t="s">
        <v>2</v>
      </c>
      <c r="Q6" s="935" t="s">
        <v>757</v>
      </c>
    </row>
    <row r="7" spans="2:17" ht="15" customHeight="1" x14ac:dyDescent="0.2">
      <c r="B7" s="940" t="s">
        <v>721</v>
      </c>
      <c r="C7" s="941">
        <v>214420.32243478103</v>
      </c>
      <c r="D7" s="942">
        <f>C7/G7</f>
        <v>0.16523542309893685</v>
      </c>
      <c r="E7" s="941">
        <v>1083245.265327197</v>
      </c>
      <c r="F7" s="942">
        <f>E7/G7</f>
        <v>0.83476457690106309</v>
      </c>
      <c r="G7" s="943">
        <v>1297665.5877619782</v>
      </c>
      <c r="L7" s="940" t="s">
        <v>721</v>
      </c>
      <c r="M7" s="941">
        <f>C7</f>
        <v>214420.32243478103</v>
      </c>
      <c r="N7" s="942">
        <f t="shared" ref="N7:Q7" si="0">D7</f>
        <v>0.16523542309893685</v>
      </c>
      <c r="O7" s="941">
        <f t="shared" si="0"/>
        <v>1083245.265327197</v>
      </c>
      <c r="P7" s="942">
        <f t="shared" si="0"/>
        <v>0.83476457690106309</v>
      </c>
      <c r="Q7" s="943">
        <f t="shared" si="0"/>
        <v>1297665.5877619782</v>
      </c>
    </row>
    <row r="8" spans="2:17" ht="15" customHeight="1" x14ac:dyDescent="0.2">
      <c r="B8" s="710" t="s">
        <v>286</v>
      </c>
      <c r="C8" s="944">
        <v>20804.708484442643</v>
      </c>
      <c r="D8" s="945">
        <f t="shared" ref="D8:D21" si="1">C8/G8</f>
        <v>0.23582820739554736</v>
      </c>
      <c r="E8" s="944">
        <v>67415.054173327764</v>
      </c>
      <c r="F8" s="945">
        <f t="shared" ref="F8:F21" si="2">E8/G8</f>
        <v>0.76417179260445267</v>
      </c>
      <c r="G8" s="946">
        <v>88219.762657770407</v>
      </c>
      <c r="I8">
        <f t="shared" ref="I8:I21" si="3">_xlfn.RANK.EQ(G8,Table_2_area,0)</f>
        <v>10</v>
      </c>
      <c r="J8">
        <v>1</v>
      </c>
      <c r="L8" s="710" t="str">
        <f>INDEX($B$8:$G$21,VLOOKUP($J8,$I$8:$J$21,2,FALSE),1)</f>
        <v>West Midlands</v>
      </c>
      <c r="M8" s="944">
        <f>INDEX($B$8:$G$21,VLOOKUP($J8,$I$8:$J$21,2,FALSE),2)</f>
        <v>22284.870660793447</v>
      </c>
      <c r="N8" s="945">
        <f t="shared" ref="N8:N20" si="4">INDEX($B$8:$G$21,VLOOKUP($J8,$I$8:$J$21,2,FALSE),3)</f>
        <v>0.15842607675477749</v>
      </c>
      <c r="O8" s="944">
        <f t="shared" ref="O8:O20" si="5">INDEX($B$8:$G$21,VLOOKUP($J8,$I$8:$J$21,2,FALSE),4)</f>
        <v>118379.28714251732</v>
      </c>
      <c r="P8" s="945">
        <f t="shared" ref="P8:P20" si="6">INDEX($B$8:$G$21,VLOOKUP($J8,$I$8:$J$21,2,FALSE),5)</f>
        <v>0.8415739232452224</v>
      </c>
      <c r="Q8" s="946">
        <f t="shared" ref="Q8:Q20" si="7">INDEX($B$8:$G$21,VLOOKUP($J8,$I$8:$J$21,2,FALSE),6)</f>
        <v>140664.15780331078</v>
      </c>
    </row>
    <row r="9" spans="2:17" ht="15" customHeight="1" x14ac:dyDescent="0.2">
      <c r="B9" s="710" t="s">
        <v>298</v>
      </c>
      <c r="C9" s="944">
        <v>11420.094708878294</v>
      </c>
      <c r="D9" s="945">
        <f t="shared" si="1"/>
        <v>0.10216843163598525</v>
      </c>
      <c r="E9" s="944">
        <v>100357.04159450375</v>
      </c>
      <c r="F9" s="945">
        <f t="shared" si="2"/>
        <v>0.89783156836401468</v>
      </c>
      <c r="G9" s="946">
        <v>111777.13630338205</v>
      </c>
      <c r="I9">
        <f t="shared" si="3"/>
        <v>5</v>
      </c>
      <c r="J9">
        <v>2</v>
      </c>
      <c r="L9" s="710" t="str">
        <f t="shared" ref="L9:L20" si="8">INDEX($B$8:$G$21,VLOOKUP($J9,$I$8:$J$21,2,FALSE),1)</f>
        <v>East Anglia</v>
      </c>
      <c r="M9" s="944">
        <f t="shared" ref="M9:M20" si="9">INDEX($B$8:$G$21,VLOOKUP($J9,$I$8:$J$21,2,FALSE),2)</f>
        <v>23938.951856823569</v>
      </c>
      <c r="N9" s="945">
        <f t="shared" si="4"/>
        <v>0.18007357872357699</v>
      </c>
      <c r="O9" s="944">
        <f t="shared" si="5"/>
        <v>109000.88321787774</v>
      </c>
      <c r="P9" s="945">
        <f t="shared" si="6"/>
        <v>0.8199264212764229</v>
      </c>
      <c r="Q9" s="946">
        <f t="shared" si="7"/>
        <v>132939.83507470132</v>
      </c>
    </row>
    <row r="10" spans="2:17" ht="15" customHeight="1" x14ac:dyDescent="0.2">
      <c r="B10" s="710" t="s">
        <v>287</v>
      </c>
      <c r="C10" s="944">
        <v>23938.951856823569</v>
      </c>
      <c r="D10" s="945">
        <f t="shared" si="1"/>
        <v>0.18007357872357699</v>
      </c>
      <c r="E10" s="944">
        <v>109000.88321787774</v>
      </c>
      <c r="F10" s="945">
        <f t="shared" si="2"/>
        <v>0.8199264212764229</v>
      </c>
      <c r="G10" s="946">
        <v>132939.83507470132</v>
      </c>
      <c r="I10">
        <f t="shared" si="3"/>
        <v>2</v>
      </c>
      <c r="J10">
        <v>3</v>
      </c>
      <c r="L10" s="710" t="str">
        <f t="shared" si="8"/>
        <v>Solent and South Downs</v>
      </c>
      <c r="M10" s="944">
        <f t="shared" si="9"/>
        <v>23907.63800077952</v>
      </c>
      <c r="N10" s="945">
        <f t="shared" si="4"/>
        <v>0.1977707102575651</v>
      </c>
      <c r="O10" s="944">
        <f t="shared" si="5"/>
        <v>96977.99753970874</v>
      </c>
      <c r="P10" s="945">
        <f t="shared" si="6"/>
        <v>0.8022292897424349</v>
      </c>
      <c r="Q10" s="946">
        <f t="shared" si="7"/>
        <v>120885.63554048826</v>
      </c>
    </row>
    <row r="11" spans="2:17" ht="15" customHeight="1" x14ac:dyDescent="0.2">
      <c r="B11" s="710" t="s">
        <v>288</v>
      </c>
      <c r="C11" s="944">
        <v>8258.640787653736</v>
      </c>
      <c r="D11" s="945">
        <f t="shared" si="1"/>
        <v>0.14621421914416413</v>
      </c>
      <c r="E11" s="944">
        <v>48224.516842254277</v>
      </c>
      <c r="F11" s="945">
        <f t="shared" si="2"/>
        <v>0.8537857808558359</v>
      </c>
      <c r="G11" s="946">
        <v>56483.157629908012</v>
      </c>
      <c r="I11">
        <f t="shared" si="3"/>
        <v>11</v>
      </c>
      <c r="J11">
        <v>4</v>
      </c>
      <c r="L11" s="710" t="str">
        <f t="shared" si="8"/>
        <v>North East</v>
      </c>
      <c r="M11" s="944">
        <f t="shared" si="9"/>
        <v>50310.54669426012</v>
      </c>
      <c r="N11" s="945">
        <f t="shared" si="4"/>
        <v>0.43322665260842108</v>
      </c>
      <c r="O11" s="944">
        <f t="shared" si="5"/>
        <v>65819.304484896493</v>
      </c>
      <c r="P11" s="945">
        <f t="shared" si="6"/>
        <v>0.56677334739157892</v>
      </c>
      <c r="Q11" s="946">
        <f t="shared" si="7"/>
        <v>116129.85117915661</v>
      </c>
    </row>
    <row r="12" spans="2:17" ht="15" customHeight="1" x14ac:dyDescent="0.2">
      <c r="B12" s="710" t="s">
        <v>301</v>
      </c>
      <c r="C12" s="944">
        <v>1369.2418280285342</v>
      </c>
      <c r="D12" s="945">
        <f t="shared" si="1"/>
        <v>4.6494265401180582E-2</v>
      </c>
      <c r="E12" s="944">
        <v>28080.450864476428</v>
      </c>
      <c r="F12" s="945">
        <f t="shared" si="2"/>
        <v>0.95350573459881938</v>
      </c>
      <c r="G12" s="946">
        <v>29449.692692504963</v>
      </c>
      <c r="I12">
        <f t="shared" si="3"/>
        <v>14</v>
      </c>
      <c r="J12">
        <v>5</v>
      </c>
      <c r="L12" s="710" t="str">
        <f t="shared" si="8"/>
        <v>Devon and Cornwall</v>
      </c>
      <c r="M12" s="944">
        <f t="shared" si="9"/>
        <v>11420.094708878294</v>
      </c>
      <c r="N12" s="945">
        <f t="shared" si="4"/>
        <v>0.10216843163598525</v>
      </c>
      <c r="O12" s="944">
        <f t="shared" si="5"/>
        <v>100357.04159450375</v>
      </c>
      <c r="P12" s="945">
        <f t="shared" si="6"/>
        <v>0.89783156836401468</v>
      </c>
      <c r="Q12" s="946">
        <f t="shared" si="7"/>
        <v>111777.13630338205</v>
      </c>
    </row>
    <row r="13" spans="2:17" ht="15" customHeight="1" x14ac:dyDescent="0.2">
      <c r="B13" s="710" t="s">
        <v>302</v>
      </c>
      <c r="C13" s="944">
        <v>826.20868947452357</v>
      </c>
      <c r="D13" s="945">
        <f t="shared" si="1"/>
        <v>2.3490839485632062E-2</v>
      </c>
      <c r="E13" s="944">
        <v>34345.318065874766</v>
      </c>
      <c r="F13" s="945">
        <f t="shared" si="2"/>
        <v>0.97650916051436798</v>
      </c>
      <c r="G13" s="946">
        <v>35171.526755349289</v>
      </c>
      <c r="I13">
        <f t="shared" si="3"/>
        <v>13</v>
      </c>
      <c r="J13">
        <v>6</v>
      </c>
      <c r="L13" s="710" t="str">
        <f t="shared" si="8"/>
        <v>Yorkshire</v>
      </c>
      <c r="M13" s="944">
        <f t="shared" si="9"/>
        <v>19256.12847700169</v>
      </c>
      <c r="N13" s="945">
        <f t="shared" si="4"/>
        <v>0.17455957837371672</v>
      </c>
      <c r="O13" s="944">
        <f t="shared" si="5"/>
        <v>91056.514669832744</v>
      </c>
      <c r="P13" s="945">
        <f t="shared" si="6"/>
        <v>0.82544042162628328</v>
      </c>
      <c r="Q13" s="946">
        <f t="shared" si="7"/>
        <v>110312.64314683444</v>
      </c>
    </row>
    <row r="14" spans="2:17" ht="15" customHeight="1" x14ac:dyDescent="0.2">
      <c r="B14" s="710" t="s">
        <v>303</v>
      </c>
      <c r="C14" s="944">
        <v>6438.8950261565169</v>
      </c>
      <c r="D14" s="945">
        <f t="shared" si="1"/>
        <v>6.2352953746390223E-2</v>
      </c>
      <c r="E14" s="944">
        <v>96826.381745583931</v>
      </c>
      <c r="F14" s="945">
        <f t="shared" si="2"/>
        <v>0.93764704625360973</v>
      </c>
      <c r="G14" s="946">
        <v>103265.27677174045</v>
      </c>
      <c r="I14">
        <f t="shared" si="3"/>
        <v>8</v>
      </c>
      <c r="J14">
        <v>7</v>
      </c>
      <c r="L14" s="710" t="str">
        <f t="shared" si="8"/>
        <v>Wessex</v>
      </c>
      <c r="M14" s="944">
        <f t="shared" si="9"/>
        <v>12743.216682970593</v>
      </c>
      <c r="N14" s="945">
        <f t="shared" si="4"/>
        <v>0.12135362899935712</v>
      </c>
      <c r="O14" s="944">
        <f t="shared" si="5"/>
        <v>92265.729386850697</v>
      </c>
      <c r="P14" s="945">
        <f t="shared" si="6"/>
        <v>0.8786463710006428</v>
      </c>
      <c r="Q14" s="946">
        <f t="shared" si="7"/>
        <v>105008.94606982129</v>
      </c>
    </row>
    <row r="15" spans="2:17" ht="15" customHeight="1" x14ac:dyDescent="0.2">
      <c r="B15" s="710" t="s">
        <v>304</v>
      </c>
      <c r="C15" s="944">
        <v>10811.035781528963</v>
      </c>
      <c r="D15" s="945">
        <f t="shared" si="1"/>
        <v>0.21572889276592766</v>
      </c>
      <c r="E15" s="944">
        <v>39302.955176832198</v>
      </c>
      <c r="F15" s="945">
        <f t="shared" si="2"/>
        <v>0.78427110723407234</v>
      </c>
      <c r="G15" s="946">
        <v>50113.990958361159</v>
      </c>
      <c r="I15">
        <f t="shared" si="3"/>
        <v>12</v>
      </c>
      <c r="J15">
        <v>8</v>
      </c>
      <c r="L15" s="710" t="str">
        <f t="shared" si="8"/>
        <v>Kent S London and E Sussex</v>
      </c>
      <c r="M15" s="944">
        <f t="shared" si="9"/>
        <v>6438.8950261565169</v>
      </c>
      <c r="N15" s="945">
        <f t="shared" si="4"/>
        <v>6.2352953746390223E-2</v>
      </c>
      <c r="O15" s="944">
        <f t="shared" si="5"/>
        <v>96826.381745583931</v>
      </c>
      <c r="P15" s="945">
        <f t="shared" si="6"/>
        <v>0.93764704625360973</v>
      </c>
      <c r="Q15" s="946">
        <f t="shared" si="7"/>
        <v>103265.27677174045</v>
      </c>
    </row>
    <row r="16" spans="2:17" ht="15" customHeight="1" x14ac:dyDescent="0.2">
      <c r="B16" s="710" t="s">
        <v>291</v>
      </c>
      <c r="C16" s="944">
        <v>50310.54669426012</v>
      </c>
      <c r="D16" s="945">
        <f t="shared" si="1"/>
        <v>0.43322665260842108</v>
      </c>
      <c r="E16" s="944">
        <v>65819.304484896493</v>
      </c>
      <c r="F16" s="945">
        <f t="shared" si="2"/>
        <v>0.56677334739157892</v>
      </c>
      <c r="G16" s="946">
        <v>116129.85117915661</v>
      </c>
      <c r="I16">
        <f t="shared" si="3"/>
        <v>4</v>
      </c>
      <c r="J16">
        <v>9</v>
      </c>
      <c r="L16" s="710" t="str">
        <f t="shared" si="8"/>
        <v>Thames</v>
      </c>
      <c r="M16" s="944">
        <f t="shared" si="9"/>
        <v>3085.8239381461217</v>
      </c>
      <c r="N16" s="945">
        <f t="shared" si="4"/>
        <v>3.1732803317400672E-2</v>
      </c>
      <c r="O16" s="944">
        <f t="shared" si="5"/>
        <v>94158.151240498482</v>
      </c>
      <c r="P16" s="945">
        <f t="shared" si="6"/>
        <v>0.96826719668259942</v>
      </c>
      <c r="Q16" s="946">
        <f t="shared" si="7"/>
        <v>97243.9751786446</v>
      </c>
    </row>
    <row r="17" spans="2:17" ht="15" customHeight="1" x14ac:dyDescent="0.2">
      <c r="B17" s="710" t="s">
        <v>292</v>
      </c>
      <c r="C17" s="944">
        <v>23907.63800077952</v>
      </c>
      <c r="D17" s="945">
        <f t="shared" si="1"/>
        <v>0.1977707102575651</v>
      </c>
      <c r="E17" s="944">
        <v>96977.99753970874</v>
      </c>
      <c r="F17" s="945">
        <f t="shared" si="2"/>
        <v>0.8022292897424349</v>
      </c>
      <c r="G17" s="946">
        <v>120885.63554048826</v>
      </c>
      <c r="I17">
        <f t="shared" si="3"/>
        <v>3</v>
      </c>
      <c r="J17">
        <v>10</v>
      </c>
      <c r="L17" s="710" t="str">
        <f t="shared" si="8"/>
        <v>Cumbria and Lancashire</v>
      </c>
      <c r="M17" s="944">
        <f t="shared" si="9"/>
        <v>20804.708484442643</v>
      </c>
      <c r="N17" s="945">
        <f t="shared" si="4"/>
        <v>0.23582820739554736</v>
      </c>
      <c r="O17" s="944">
        <f t="shared" si="5"/>
        <v>67415.054173327764</v>
      </c>
      <c r="P17" s="945">
        <f t="shared" si="6"/>
        <v>0.76417179260445267</v>
      </c>
      <c r="Q17" s="946">
        <f t="shared" si="7"/>
        <v>88219.762657770407</v>
      </c>
    </row>
    <row r="18" spans="2:17" ht="15" customHeight="1" x14ac:dyDescent="0.2">
      <c r="B18" s="710" t="s">
        <v>293</v>
      </c>
      <c r="C18" s="944">
        <v>3085.8239381461217</v>
      </c>
      <c r="D18" s="945">
        <f t="shared" si="1"/>
        <v>3.1732803317400672E-2</v>
      </c>
      <c r="E18" s="944">
        <v>94158.151240498482</v>
      </c>
      <c r="F18" s="945">
        <f t="shared" si="2"/>
        <v>0.96826719668259942</v>
      </c>
      <c r="G18" s="946">
        <v>97243.9751786446</v>
      </c>
      <c r="I18">
        <f t="shared" si="3"/>
        <v>9</v>
      </c>
      <c r="J18">
        <v>11</v>
      </c>
      <c r="L18" s="710" t="str">
        <f t="shared" si="8"/>
        <v>East Midlands</v>
      </c>
      <c r="M18" s="944">
        <f t="shared" si="9"/>
        <v>8258.640787653736</v>
      </c>
      <c r="N18" s="945">
        <f t="shared" si="4"/>
        <v>0.14621421914416413</v>
      </c>
      <c r="O18" s="944">
        <f t="shared" si="5"/>
        <v>48224.516842254277</v>
      </c>
      <c r="P18" s="945">
        <f t="shared" si="6"/>
        <v>0.8537857808558359</v>
      </c>
      <c r="Q18" s="946">
        <f t="shared" si="7"/>
        <v>56483.157629908012</v>
      </c>
    </row>
    <row r="19" spans="2:17" ht="15" customHeight="1" x14ac:dyDescent="0.2">
      <c r="B19" s="710" t="s">
        <v>294</v>
      </c>
      <c r="C19" s="944">
        <v>12743.216682970593</v>
      </c>
      <c r="D19" s="945">
        <f t="shared" si="1"/>
        <v>0.12135362899935712</v>
      </c>
      <c r="E19" s="944">
        <v>92265.729386850697</v>
      </c>
      <c r="F19" s="945">
        <f t="shared" si="2"/>
        <v>0.8786463710006428</v>
      </c>
      <c r="G19" s="946">
        <v>105008.94606982129</v>
      </c>
      <c r="I19">
        <f t="shared" si="3"/>
        <v>7</v>
      </c>
      <c r="J19">
        <v>12</v>
      </c>
      <c r="L19" s="710" t="str">
        <f t="shared" si="8"/>
        <v>Lincs and Northants</v>
      </c>
      <c r="M19" s="944">
        <f t="shared" si="9"/>
        <v>10811.035781528963</v>
      </c>
      <c r="N19" s="945">
        <f t="shared" si="4"/>
        <v>0.21572889276592766</v>
      </c>
      <c r="O19" s="944">
        <f t="shared" si="5"/>
        <v>39302.955176832198</v>
      </c>
      <c r="P19" s="945">
        <f t="shared" si="6"/>
        <v>0.78427110723407234</v>
      </c>
      <c r="Q19" s="946">
        <f t="shared" si="7"/>
        <v>50113.990958361159</v>
      </c>
    </row>
    <row r="20" spans="2:17" ht="15" customHeight="1" x14ac:dyDescent="0.2">
      <c r="B20" s="710" t="s">
        <v>295</v>
      </c>
      <c r="C20" s="944">
        <v>22284.870660793447</v>
      </c>
      <c r="D20" s="945">
        <f t="shared" si="1"/>
        <v>0.15842607675477749</v>
      </c>
      <c r="E20" s="944">
        <v>118379.28714251732</v>
      </c>
      <c r="F20" s="945">
        <f t="shared" si="2"/>
        <v>0.8415739232452224</v>
      </c>
      <c r="G20" s="946">
        <v>140664.15780331078</v>
      </c>
      <c r="I20">
        <f t="shared" si="3"/>
        <v>1</v>
      </c>
      <c r="J20">
        <v>13</v>
      </c>
      <c r="L20" s="710" t="str">
        <f t="shared" si="8"/>
        <v>Herts and North London</v>
      </c>
      <c r="M20" s="944">
        <f t="shared" si="9"/>
        <v>826.20868947452357</v>
      </c>
      <c r="N20" s="945">
        <f t="shared" si="4"/>
        <v>2.3490839485632062E-2</v>
      </c>
      <c r="O20" s="944">
        <f t="shared" si="5"/>
        <v>34345.318065874766</v>
      </c>
      <c r="P20" s="945">
        <f t="shared" si="6"/>
        <v>0.97650916051436798</v>
      </c>
      <c r="Q20" s="946">
        <f t="shared" si="7"/>
        <v>35171.526755349289</v>
      </c>
    </row>
    <row r="21" spans="2:17" ht="15" customHeight="1" x14ac:dyDescent="0.2">
      <c r="B21" s="714" t="s">
        <v>296</v>
      </c>
      <c r="C21" s="947">
        <v>19256.12847700169</v>
      </c>
      <c r="D21" s="948">
        <f t="shared" si="1"/>
        <v>0.17455957837371672</v>
      </c>
      <c r="E21" s="947">
        <v>91056.514669832744</v>
      </c>
      <c r="F21" s="948">
        <f t="shared" si="2"/>
        <v>0.82544042162628328</v>
      </c>
      <c r="G21" s="949">
        <v>110312.64314683444</v>
      </c>
      <c r="I21">
        <f t="shared" si="3"/>
        <v>6</v>
      </c>
      <c r="J21">
        <v>14</v>
      </c>
      <c r="L21" s="714" t="str">
        <f>INDEX($B$8:$G$21,VLOOKUP($J21,$I$8:$J$21,2,FALSE),1)</f>
        <v>Gtr Mancs Mersey and Ches</v>
      </c>
      <c r="M21" s="947">
        <f>INDEX($B$8:$G$21,VLOOKUP($J21,$I$8:$J$21,2,FALSE),2)</f>
        <v>1369.2418280285342</v>
      </c>
      <c r="N21" s="948">
        <f>INDEX($B$8:$G$21,VLOOKUP($J21,$I$8:$J$21,2,FALSE),3)</f>
        <v>4.6494265401180582E-2</v>
      </c>
      <c r="O21" s="947">
        <f>INDEX($B$8:$G$21,VLOOKUP($J21,$I$8:$J$21,2,FALSE),4)</f>
        <v>28080.450864476428</v>
      </c>
      <c r="P21" s="948">
        <f>INDEX($B$8:$G$21,VLOOKUP($J21,$I$8:$J$21,2,FALSE),5)</f>
        <v>0.95350573459881938</v>
      </c>
      <c r="Q21" s="949">
        <f>INDEX($B$8:$G$21,VLOOKUP($J21,$I$8:$J$21,2,FALSE),6)</f>
        <v>29449.692692504963</v>
      </c>
    </row>
  </sheetData>
  <mergeCells count="6">
    <mergeCell ref="O5:P5"/>
    <mergeCell ref="B5:B6"/>
    <mergeCell ref="C5:D5"/>
    <mergeCell ref="E5:F5"/>
    <mergeCell ref="L5:L6"/>
    <mergeCell ref="M5:N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760</v>
      </c>
      <c r="D5" s="654" t="s">
        <v>760</v>
      </c>
      <c r="E5" s="655" t="s">
        <v>82</v>
      </c>
      <c r="F5" s="654" t="s">
        <v>760</v>
      </c>
      <c r="G5" s="654" t="s">
        <v>760</v>
      </c>
      <c r="H5" s="654" t="s">
        <v>760</v>
      </c>
      <c r="I5" s="655" t="s">
        <v>82</v>
      </c>
      <c r="J5" s="654" t="s">
        <v>760</v>
      </c>
      <c r="K5" s="654" t="s">
        <v>760</v>
      </c>
      <c r="L5" s="654" t="s">
        <v>760</v>
      </c>
      <c r="M5" s="655" t="s">
        <v>82</v>
      </c>
      <c r="N5" s="654" t="s">
        <v>760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">
        <v>721</v>
      </c>
      <c r="C6" s="916">
        <v>35136.934000000001</v>
      </c>
      <c r="D6" s="917">
        <v>232722.22099999999</v>
      </c>
      <c r="E6" s="662">
        <v>1.3249205983688215</v>
      </c>
      <c r="F6" s="699">
        <f>C6+D6</f>
        <v>267859.15499999997</v>
      </c>
      <c r="G6" s="916">
        <v>26375.967000000001</v>
      </c>
      <c r="H6" s="917">
        <v>63619.548999999999</v>
      </c>
      <c r="I6" s="662">
        <v>2.44942320338764</v>
      </c>
      <c r="J6" s="699">
        <f>G6+H6</f>
        <v>89995.516000000003</v>
      </c>
      <c r="K6" s="922">
        <v>8760.9670000000006</v>
      </c>
      <c r="L6" s="917">
        <v>169181.13</v>
      </c>
      <c r="M6" s="662">
        <v>1.6188044985800498</v>
      </c>
      <c r="N6" s="699">
        <f>K6+L6</f>
        <v>177942.09700000001</v>
      </c>
      <c r="P6" s="665">
        <f>D6*E6/100</f>
        <v>3083.3846430104109</v>
      </c>
      <c r="Q6" s="472">
        <f>H6*I6/100</f>
        <v>1558.3119950965693</v>
      </c>
      <c r="R6" s="666">
        <f>L6*M6/100</f>
        <v>2738.7117431885622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918">
        <v>3059.9879999999998</v>
      </c>
      <c r="D7" s="919">
        <v>13512.279</v>
      </c>
      <c r="E7" s="671">
        <v>4.5599999999999996</v>
      </c>
      <c r="F7" s="699">
        <f>C7+D7</f>
        <v>16572.267</v>
      </c>
      <c r="G7" s="918">
        <v>2712.08</v>
      </c>
      <c r="H7" s="919">
        <v>6126.6009999999997</v>
      </c>
      <c r="I7" s="671">
        <v>7.2</v>
      </c>
      <c r="J7" s="699">
        <f>G7+H7</f>
        <v>8838.6810000000005</v>
      </c>
      <c r="K7" s="923">
        <v>347.90800000000002</v>
      </c>
      <c r="L7" s="919">
        <v>7377.8130000000001</v>
      </c>
      <c r="M7" s="671">
        <v>6.37</v>
      </c>
      <c r="N7" s="699">
        <f>K7+L7</f>
        <v>7725.7210000000005</v>
      </c>
      <c r="P7" s="665">
        <f>D7*E7/100</f>
        <v>616.15992240000003</v>
      </c>
      <c r="Q7" s="472">
        <f t="shared" ref="Q7:Q20" si="0">H7*I7/100</f>
        <v>441.11527199999995</v>
      </c>
      <c r="R7" s="666">
        <f t="shared" ref="R7:R20" si="1">L7*M7/100</f>
        <v>469.96668810000006</v>
      </c>
      <c r="U7" s="668" t="e">
        <f>INDEX($B$7:$N$20,MATCH(1,$F$47:$F$60,FALSE),1)</f>
        <v>#N/A</v>
      </c>
      <c r="V7" s="673" t="e">
        <f>INDEX($B$7:$N$20,MATCH(1,$F$47:$F$60,FALSE),2)</f>
        <v>#N/A</v>
      </c>
      <c r="W7" s="674" t="e">
        <f>INDEX($B$7:$N$20,MATCH(1,$F$47:$F$60,FALSE),3)</f>
        <v>#N/A</v>
      </c>
      <c r="X7" s="675" t="e">
        <f>INDEX($B$7:$N$20,MATCH(1,$F$47:$F$60,FALSE),4)</f>
        <v>#N/A</v>
      </c>
      <c r="Y7" s="663" t="e">
        <f>INDEX($B$7:$N$20,MATCH(1,$F$47:$F$60,FALSE),5)</f>
        <v>#N/A</v>
      </c>
      <c r="Z7" s="673" t="e">
        <f>INDEX($B$7:$N$20,MATCH(1,$F$47:$F$60,FALSE),6)</f>
        <v>#N/A</v>
      </c>
      <c r="AA7" s="674" t="e">
        <f>INDEX($B$7:$N$20,MATCH(1,$F$47:$F$60,FALSE),7)</f>
        <v>#N/A</v>
      </c>
      <c r="AB7" s="675" t="e">
        <f>INDEX($B$7:$N$20,MATCH(1,$F$47:$F$60,FALSE),8)</f>
        <v>#N/A</v>
      </c>
      <c r="AC7" s="663" t="e">
        <f>INDEX($B$7:$N$20,MATCH(1,$F$47:$F$60,FALSE),9)</f>
        <v>#N/A</v>
      </c>
      <c r="AD7" s="676" t="e">
        <f>INDEX($B$7:$N$20,MATCH(1,$F$47:$F$60,FALSE),10)</f>
        <v>#N/A</v>
      </c>
      <c r="AE7" s="674" t="e">
        <f>INDEX($B$7:$N$20,MATCH(1,$F$47:$F$60,FALSE),11)</f>
        <v>#N/A</v>
      </c>
      <c r="AF7" s="675" t="e">
        <f>INDEX($B$7:$N$20,MATCH(1,$F$47:$F$60,FALSE),12)</f>
        <v>#N/A</v>
      </c>
      <c r="AG7" s="663" t="e">
        <f>INDEX($B$7:$N$20,MATCH(1,$F$47:$F$60,FALSE),13)</f>
        <v>#N/A</v>
      </c>
      <c r="AI7" s="665" t="e">
        <f>W7*X7/100</f>
        <v>#N/A</v>
      </c>
      <c r="AJ7" s="472" t="e">
        <f t="shared" ref="AJ7:AJ20" si="2">AA7*AB7/100</f>
        <v>#N/A</v>
      </c>
      <c r="AK7" s="666" t="e">
        <f t="shared" ref="AK7:AK20" si="3">AE7*AF7/100</f>
        <v>#N/A</v>
      </c>
    </row>
    <row r="8" spans="2:37" ht="15" customHeight="1" x14ac:dyDescent="0.2">
      <c r="B8" s="668" t="s">
        <v>307</v>
      </c>
      <c r="C8" s="918">
        <v>2115.39</v>
      </c>
      <c r="D8" s="919">
        <v>23618.437999999998</v>
      </c>
      <c r="E8" s="671">
        <v>4.5599999999999996</v>
      </c>
      <c r="F8" s="699">
        <f t="shared" ref="F8:F20" si="4">C8+D8</f>
        <v>25733.827999999998</v>
      </c>
      <c r="G8" s="918">
        <v>1821.8979999999999</v>
      </c>
      <c r="H8" s="919">
        <v>6429.5550000000003</v>
      </c>
      <c r="I8" s="671">
        <v>7.14</v>
      </c>
      <c r="J8" s="699">
        <f t="shared" ref="J8:J20" si="5">G8+H8</f>
        <v>8251.4529999999995</v>
      </c>
      <c r="K8" s="923">
        <v>293.49099999999999</v>
      </c>
      <c r="L8" s="919">
        <v>17157.629000000001</v>
      </c>
      <c r="M8" s="671">
        <v>5.69</v>
      </c>
      <c r="N8" s="699">
        <f t="shared" ref="N8:N20" si="6">K8+L8</f>
        <v>17451.120000000003</v>
      </c>
      <c r="P8" s="665">
        <f t="shared" ref="P8:P20" si="7">D8*E8/100</f>
        <v>1077.0007727999998</v>
      </c>
      <c r="Q8" s="472">
        <f t="shared" si="0"/>
        <v>459.07022699999999</v>
      </c>
      <c r="R8" s="666">
        <f t="shared" si="1"/>
        <v>976.2690901000002</v>
      </c>
      <c r="U8" s="668" t="e">
        <f>INDEX($B$7:$N$20,MATCH(2,$F$47:$F$60,FALSE),1)</f>
        <v>#N/A</v>
      </c>
      <c r="V8" s="673" t="e">
        <f>INDEX($B$7:$N$20,MATCH(2,$F$47:$F$60,FALSE),2)</f>
        <v>#N/A</v>
      </c>
      <c r="W8" s="674" t="e">
        <f>INDEX($B$7:$N$20,MATCH(2,$F$47:$F$60,FALSE),3)</f>
        <v>#N/A</v>
      </c>
      <c r="X8" s="675" t="e">
        <f>INDEX($B$7:$N$20,MATCH(2,$F$47:$F$60,FALSE),4)</f>
        <v>#N/A</v>
      </c>
      <c r="Y8" s="663" t="e">
        <f>INDEX($B$7:$N$20,MATCH(2,$F$47:$F$60,FALSE),5)</f>
        <v>#N/A</v>
      </c>
      <c r="Z8" s="673" t="e">
        <f>INDEX($B$7:$N$20,MATCH(2,$F$47:$F$60,FALSE),6)</f>
        <v>#N/A</v>
      </c>
      <c r="AA8" s="674" t="e">
        <f>INDEX($B$7:$N$20,MATCH(2,$F$47:$F$60,FALSE),7)</f>
        <v>#N/A</v>
      </c>
      <c r="AB8" s="675" t="e">
        <f>INDEX($B$7:$N$20,MATCH(2,$F$47:$F$60,FALSE),8)</f>
        <v>#N/A</v>
      </c>
      <c r="AC8" s="663" t="e">
        <f>INDEX($B$7:$N$20,MATCH(2,$F$47:$F$60,FALSE),9)</f>
        <v>#N/A</v>
      </c>
      <c r="AD8" s="676" t="e">
        <f>INDEX($B$7:$N$20,MATCH(2,$F$47:$F$60,FALSE),10)</f>
        <v>#N/A</v>
      </c>
      <c r="AE8" s="674" t="e">
        <f>INDEX($B$7:$N$20,MATCH(2,$F$47:$F$60,FALSE),11)</f>
        <v>#N/A</v>
      </c>
      <c r="AF8" s="675" t="e">
        <f>INDEX($B$7:$N$20,MATCH(2,$F$47:$F$60,FALSE),12)</f>
        <v>#N/A</v>
      </c>
      <c r="AG8" s="663" t="e">
        <f>INDEX($B$7:$N$20,MATCH(2,$F$47:$F$60,FALSE),13)</f>
        <v>#N/A</v>
      </c>
      <c r="AI8" s="665" t="e">
        <f t="shared" ref="AI8:AI20" si="8">W8*X8/100</f>
        <v>#N/A</v>
      </c>
      <c r="AJ8" s="472" t="e">
        <f t="shared" si="2"/>
        <v>#N/A</v>
      </c>
      <c r="AK8" s="666" t="e">
        <f t="shared" si="3"/>
        <v>#N/A</v>
      </c>
    </row>
    <row r="9" spans="2:37" ht="15" customHeight="1" x14ac:dyDescent="0.2">
      <c r="B9" s="668" t="s">
        <v>287</v>
      </c>
      <c r="C9" s="918">
        <v>3921.0219999999999</v>
      </c>
      <c r="D9" s="919">
        <v>19729.57</v>
      </c>
      <c r="E9" s="671">
        <v>4.33</v>
      </c>
      <c r="F9" s="699">
        <f t="shared" si="4"/>
        <v>23650.592000000001</v>
      </c>
      <c r="G9" s="918">
        <v>3382.819</v>
      </c>
      <c r="H9" s="919">
        <v>4079.4380000000001</v>
      </c>
      <c r="I9" s="671">
        <v>7.87</v>
      </c>
      <c r="J9" s="699">
        <f t="shared" si="5"/>
        <v>7462.2569999999996</v>
      </c>
      <c r="K9" s="923">
        <v>538.20299999999997</v>
      </c>
      <c r="L9" s="919">
        <v>15643.007</v>
      </c>
      <c r="M9" s="671">
        <v>5.31</v>
      </c>
      <c r="N9" s="699">
        <f t="shared" si="6"/>
        <v>16181.21</v>
      </c>
      <c r="P9" s="665">
        <f t="shared" si="7"/>
        <v>854.29038100000002</v>
      </c>
      <c r="Q9" s="472">
        <f t="shared" si="0"/>
        <v>321.0517706</v>
      </c>
      <c r="R9" s="666">
        <f t="shared" si="1"/>
        <v>830.64367170000003</v>
      </c>
      <c r="U9" s="668" t="e">
        <f>INDEX($B$7:$N$20,MATCH(3,$F$47:$F$60,FALSE),1)</f>
        <v>#N/A</v>
      </c>
      <c r="V9" s="673" t="e">
        <f>INDEX($B$7:$N$20,MATCH(3,$F$47:$F$60,FALSE),2)</f>
        <v>#N/A</v>
      </c>
      <c r="W9" s="674" t="e">
        <f>INDEX($B$7:$N$20,MATCH(3,$F$47:$F$60,FALSE),3)</f>
        <v>#N/A</v>
      </c>
      <c r="X9" s="675" t="e">
        <f>INDEX($B$7:$N$20,MATCH(3,$F$47:$F$60,FALSE),4)</f>
        <v>#N/A</v>
      </c>
      <c r="Y9" s="663" t="e">
        <f>INDEX($B$7:$N$20,MATCH(3,$F$47:$F$60,FALSE),5)</f>
        <v>#N/A</v>
      </c>
      <c r="Z9" s="673" t="e">
        <f>INDEX($B$7:$N$20,MATCH(3,$F$47:$F$60,FALSE),6)</f>
        <v>#N/A</v>
      </c>
      <c r="AA9" s="674" t="e">
        <f>INDEX($B$7:$N$20,MATCH(3,$F$47:$F$60,FALSE),7)</f>
        <v>#N/A</v>
      </c>
      <c r="AB9" s="675" t="e">
        <f>INDEX($B$7:$N$20,MATCH(3,$F$47:$F$60,FALSE),8)</f>
        <v>#N/A</v>
      </c>
      <c r="AC9" s="663" t="e">
        <f>INDEX($B$7:$N$20,MATCH(3,$F$47:$F$60,FALSE),9)</f>
        <v>#N/A</v>
      </c>
      <c r="AD9" s="676" t="e">
        <f>INDEX($B$7:$N$20,MATCH(3,$F$47:$F$60,FALSE),10)</f>
        <v>#N/A</v>
      </c>
      <c r="AE9" s="674" t="e">
        <f>INDEX($B$7:$N$20,MATCH(3,$F$47:$F$60,FALSE),11)</f>
        <v>#N/A</v>
      </c>
      <c r="AF9" s="675" t="e">
        <f>INDEX($B$7:$N$20,MATCH(3,$F$47:$F$60,FALSE),12)</f>
        <v>#N/A</v>
      </c>
      <c r="AG9" s="663" t="e">
        <f>INDEX($B$7:$N$20,MATCH(3,$F$47:$F$60,FALSE),13)</f>
        <v>#N/A</v>
      </c>
      <c r="AI9" s="665" t="e">
        <f t="shared" si="8"/>
        <v>#N/A</v>
      </c>
      <c r="AJ9" s="472" t="e">
        <f t="shared" si="2"/>
        <v>#N/A</v>
      </c>
      <c r="AK9" s="666" t="e">
        <f t="shared" si="3"/>
        <v>#N/A</v>
      </c>
    </row>
    <row r="10" spans="2:37" ht="15" customHeight="1" x14ac:dyDescent="0.2">
      <c r="B10" s="668" t="s">
        <v>288</v>
      </c>
      <c r="C10" s="918">
        <v>1308.79</v>
      </c>
      <c r="D10" s="919">
        <v>8339.4599999999991</v>
      </c>
      <c r="E10" s="671">
        <v>7.13</v>
      </c>
      <c r="F10" s="699">
        <f t="shared" si="4"/>
        <v>9648.25</v>
      </c>
      <c r="G10" s="918">
        <v>1088.232</v>
      </c>
      <c r="H10" s="919">
        <v>2411.3879999999999</v>
      </c>
      <c r="I10" s="671">
        <v>12.68</v>
      </c>
      <c r="J10" s="699">
        <f t="shared" si="5"/>
        <v>3499.62</v>
      </c>
      <c r="K10" s="923">
        <v>220.55799999999999</v>
      </c>
      <c r="L10" s="919">
        <v>5928.0720000000001</v>
      </c>
      <c r="M10" s="671">
        <v>9.48</v>
      </c>
      <c r="N10" s="699">
        <f t="shared" si="6"/>
        <v>6148.63</v>
      </c>
      <c r="P10" s="665">
        <f t="shared" si="7"/>
        <v>594.60349799999995</v>
      </c>
      <c r="Q10" s="472">
        <f t="shared" si="0"/>
        <v>305.76399839999999</v>
      </c>
      <c r="R10" s="666">
        <f t="shared" si="1"/>
        <v>561.98122560000002</v>
      </c>
      <c r="U10" s="668" t="e">
        <f>INDEX($B$7:$N$20,MATCH(4,$F$47:$F$60,FALSE),1)</f>
        <v>#N/A</v>
      </c>
      <c r="V10" s="673" t="e">
        <f>INDEX($B$7:$N$20,MATCH(4,$F$47:$F$60,FALSE),2)</f>
        <v>#N/A</v>
      </c>
      <c r="W10" s="674" t="e">
        <f>INDEX($B$7:$N$20,MATCH(4,$F$47:$F$60,FALSE),3)</f>
        <v>#N/A</v>
      </c>
      <c r="X10" s="675" t="e">
        <f>INDEX($B$7:$N$20,MATCH(4,$F$47:$F$60,FALSE),4)</f>
        <v>#N/A</v>
      </c>
      <c r="Y10" s="663" t="e">
        <f>INDEX($B$7:$N$20,MATCH(4,$F$47:$F$60,FALSE),5)</f>
        <v>#N/A</v>
      </c>
      <c r="Z10" s="673" t="e">
        <f>INDEX($B$7:$N$20,MATCH(4,$F$47:$F$60,FALSE),6)</f>
        <v>#N/A</v>
      </c>
      <c r="AA10" s="674" t="e">
        <f>INDEX($B$7:$N$20,MATCH(4,$F$47:$F$60,FALSE),7)</f>
        <v>#N/A</v>
      </c>
      <c r="AB10" s="675" t="e">
        <f>INDEX($B$7:$N$20,MATCH(4,$F$47:$F$60,FALSE),8)</f>
        <v>#N/A</v>
      </c>
      <c r="AC10" s="663" t="e">
        <f>INDEX($B$7:$N$20,MATCH(4,$F$47:$F$60,FALSE),9)</f>
        <v>#N/A</v>
      </c>
      <c r="AD10" s="676" t="e">
        <f>INDEX($B$7:$N$20,MATCH(4,$F$47:$F$60,FALSE),10)</f>
        <v>#N/A</v>
      </c>
      <c r="AE10" s="674" t="e">
        <f>INDEX($B$7:$N$20,MATCH(4,$F$47:$F$60,FALSE),11)</f>
        <v>#N/A</v>
      </c>
      <c r="AF10" s="675" t="e">
        <f>INDEX($B$7:$N$20,MATCH(4,$F$47:$F$60,FALSE),12)</f>
        <v>#N/A</v>
      </c>
      <c r="AG10" s="663" t="e">
        <f>INDEX($B$7:$N$20,MATCH(4,$F$47:$F$60,FALSE),13)</f>
        <v>#N/A</v>
      </c>
      <c r="AI10" s="665" t="e">
        <f t="shared" si="8"/>
        <v>#N/A</v>
      </c>
      <c r="AJ10" s="472" t="e">
        <f t="shared" si="2"/>
        <v>#N/A</v>
      </c>
      <c r="AK10" s="666" t="e">
        <f t="shared" si="3"/>
        <v>#N/A</v>
      </c>
    </row>
    <row r="11" spans="2:37" ht="15" customHeight="1" x14ac:dyDescent="0.2">
      <c r="B11" s="668" t="s">
        <v>305</v>
      </c>
      <c r="C11" s="918">
        <v>179.892</v>
      </c>
      <c r="D11" s="919">
        <v>4595.5990000000002</v>
      </c>
      <c r="E11" s="671">
        <v>12.35</v>
      </c>
      <c r="F11" s="699">
        <f t="shared" si="4"/>
        <v>4775.491</v>
      </c>
      <c r="G11" s="918">
        <v>128.36199999999999</v>
      </c>
      <c r="H11" s="919">
        <v>600.87199999999996</v>
      </c>
      <c r="I11" s="671">
        <v>18.899999999999999</v>
      </c>
      <c r="J11" s="699">
        <f t="shared" si="5"/>
        <v>729.23399999999992</v>
      </c>
      <c r="K11" s="923">
        <v>51.53</v>
      </c>
      <c r="L11" s="919">
        <v>3994.7280000000001</v>
      </c>
      <c r="M11" s="671">
        <v>14.1</v>
      </c>
      <c r="N11" s="699">
        <f t="shared" si="6"/>
        <v>4046.2580000000003</v>
      </c>
      <c r="P11" s="665">
        <f t="shared" si="7"/>
        <v>567.55647650000003</v>
      </c>
      <c r="Q11" s="472">
        <f t="shared" si="0"/>
        <v>113.56480799999997</v>
      </c>
      <c r="R11" s="666">
        <f t="shared" si="1"/>
        <v>563.25664800000004</v>
      </c>
      <c r="U11" s="668" t="e">
        <f>INDEX($B$7:$N$20,MATCH(5,$F$47:$F$60,FALSE),1)</f>
        <v>#N/A</v>
      </c>
      <c r="V11" s="673" t="e">
        <f>INDEX($B$7:$N$20,MATCH(5,$F$47:$F$60,FALSE),2)</f>
        <v>#N/A</v>
      </c>
      <c r="W11" s="674" t="e">
        <f>INDEX($B$7:$N$20,MATCH(5,$F$47:$F$60,FALSE),3)</f>
        <v>#N/A</v>
      </c>
      <c r="X11" s="675" t="e">
        <f>INDEX($B$7:$N$20,MATCH(5,$F$47:$F$60,FALSE),4)</f>
        <v>#N/A</v>
      </c>
      <c r="Y11" s="663" t="e">
        <f>INDEX($B$7:$N$20,MATCH(5,$F$47:$F$60,FALSE),5)</f>
        <v>#N/A</v>
      </c>
      <c r="Z11" s="673" t="e">
        <f>INDEX($B$7:$N$20,MATCH(5,$F$47:$F$60,FALSE),6)</f>
        <v>#N/A</v>
      </c>
      <c r="AA11" s="674" t="e">
        <f>INDEX($B$7:$N$20,MATCH(5,$F$47:$F$60,FALSE),7)</f>
        <v>#N/A</v>
      </c>
      <c r="AB11" s="675" t="e">
        <f>INDEX($B$7:$N$20,MATCH(5,$F$47:$F$60,FALSE),8)</f>
        <v>#N/A</v>
      </c>
      <c r="AC11" s="663" t="e">
        <f>INDEX($B$7:$N$20,MATCH(5,$F$47:$F$60,FALSE),9)</f>
        <v>#N/A</v>
      </c>
      <c r="AD11" s="676" t="e">
        <f>INDEX($B$7:$N$20,MATCH(5,$F$47:$F$60,FALSE),10)</f>
        <v>#N/A</v>
      </c>
      <c r="AE11" s="674" t="e">
        <f>INDEX($B$7:$N$20,MATCH(5,$F$47:$F$60,FALSE),11)</f>
        <v>#N/A</v>
      </c>
      <c r="AF11" s="675" t="e">
        <f>INDEX($B$7:$N$20,MATCH(5,$F$47:$F$60,FALSE),12)</f>
        <v>#N/A</v>
      </c>
      <c r="AG11" s="663" t="e">
        <f>INDEX($B$7:$N$20,MATCH(5,$F$47:$F$60,FALSE),13)</f>
        <v>#N/A</v>
      </c>
      <c r="AI11" s="665" t="e">
        <f t="shared" si="8"/>
        <v>#N/A</v>
      </c>
      <c r="AJ11" s="472" t="e">
        <f t="shared" si="2"/>
        <v>#N/A</v>
      </c>
      <c r="AK11" s="666" t="e">
        <f t="shared" si="3"/>
        <v>#N/A</v>
      </c>
    </row>
    <row r="12" spans="2:37" ht="15" customHeight="1" x14ac:dyDescent="0.2">
      <c r="B12" s="668" t="s">
        <v>289</v>
      </c>
      <c r="C12" s="918">
        <v>107.497</v>
      </c>
      <c r="D12" s="919">
        <v>6357.6980000000003</v>
      </c>
      <c r="E12" s="671">
        <v>12.52</v>
      </c>
      <c r="F12" s="699">
        <f t="shared" si="4"/>
        <v>6465.1950000000006</v>
      </c>
      <c r="G12" s="918">
        <v>50.957999999999998</v>
      </c>
      <c r="H12" s="919">
        <v>924.99400000000003</v>
      </c>
      <c r="I12" s="671">
        <v>17.899999999999999</v>
      </c>
      <c r="J12" s="699">
        <f t="shared" si="5"/>
        <v>975.952</v>
      </c>
      <c r="K12" s="923">
        <v>56.539000000000001</v>
      </c>
      <c r="L12" s="919">
        <v>5432.7039999999997</v>
      </c>
      <c r="M12" s="671">
        <v>14.36</v>
      </c>
      <c r="N12" s="699">
        <f t="shared" si="6"/>
        <v>5489.2429999999995</v>
      </c>
      <c r="P12" s="665">
        <f t="shared" si="7"/>
        <v>795.98378960000002</v>
      </c>
      <c r="Q12" s="472">
        <f t="shared" si="0"/>
        <v>165.573926</v>
      </c>
      <c r="R12" s="666">
        <f t="shared" si="1"/>
        <v>780.13629439999988</v>
      </c>
      <c r="U12" s="668" t="e">
        <f>INDEX($B$7:$N$20,MATCH(6,$F$47:$F$60,FALSE),1)</f>
        <v>#N/A</v>
      </c>
      <c r="V12" s="673" t="e">
        <f>INDEX($B$7:$N$20,MATCH(6,$F$47:$F$60,FALSE),2)</f>
        <v>#N/A</v>
      </c>
      <c r="W12" s="674" t="e">
        <f>INDEX($B$7:$N$20,MATCH(6,$F$47:$F$60,FALSE),3)</f>
        <v>#N/A</v>
      </c>
      <c r="X12" s="675" t="e">
        <f>INDEX($B$7:$N$20,MATCH(6,$F$47:$F$60,FALSE),4)</f>
        <v>#N/A</v>
      </c>
      <c r="Y12" s="663" t="e">
        <f>INDEX($B$7:$N$20,MATCH(6,$F$47:$F$60,FALSE),5)</f>
        <v>#N/A</v>
      </c>
      <c r="Z12" s="673" t="e">
        <f>INDEX($B$7:$N$20,MATCH(6,$F$47:$F$60,FALSE),6)</f>
        <v>#N/A</v>
      </c>
      <c r="AA12" s="674" t="e">
        <f>INDEX($B$7:$N$20,MATCH(6,$F$47:$F$60,FALSE),7)</f>
        <v>#N/A</v>
      </c>
      <c r="AB12" s="675" t="e">
        <f>INDEX($B$7:$N$20,MATCH(6,$F$47:$F$60,FALSE),8)</f>
        <v>#N/A</v>
      </c>
      <c r="AC12" s="663" t="e">
        <f>INDEX($B$7:$N$20,MATCH(6,$F$47:$F$60,FALSE),9)</f>
        <v>#N/A</v>
      </c>
      <c r="AD12" s="676" t="e">
        <f>INDEX($B$7:$N$20,MATCH(6,$F$47:$F$60,FALSE),10)</f>
        <v>#N/A</v>
      </c>
      <c r="AE12" s="674" t="e">
        <f>INDEX($B$7:$N$20,MATCH(6,$F$47:$F$60,FALSE),11)</f>
        <v>#N/A</v>
      </c>
      <c r="AF12" s="675" t="e">
        <f>INDEX($B$7:$N$20,MATCH(6,$F$47:$F$60,FALSE),12)</f>
        <v>#N/A</v>
      </c>
      <c r="AG12" s="663" t="e">
        <f>INDEX($B$7:$N$20,MATCH(6,$F$47:$F$60,FALSE),13)</f>
        <v>#N/A</v>
      </c>
      <c r="AI12" s="665" t="e">
        <f t="shared" si="8"/>
        <v>#N/A</v>
      </c>
      <c r="AJ12" s="472" t="e">
        <f t="shared" si="2"/>
        <v>#N/A</v>
      </c>
      <c r="AK12" s="666" t="e">
        <f t="shared" si="3"/>
        <v>#N/A</v>
      </c>
    </row>
    <row r="13" spans="2:37" ht="15" customHeight="1" x14ac:dyDescent="0.2">
      <c r="B13" s="668" t="s">
        <v>306</v>
      </c>
      <c r="C13" s="918">
        <v>894.36300000000006</v>
      </c>
      <c r="D13" s="919">
        <v>19693.312000000002</v>
      </c>
      <c r="E13" s="671">
        <v>4.33</v>
      </c>
      <c r="F13" s="699">
        <f t="shared" si="4"/>
        <v>20587.675000000003</v>
      </c>
      <c r="G13" s="918">
        <v>536.35400000000004</v>
      </c>
      <c r="H13" s="919">
        <v>2822.6860000000001</v>
      </c>
      <c r="I13" s="671">
        <v>10.39</v>
      </c>
      <c r="J13" s="699">
        <f t="shared" si="5"/>
        <v>3359.04</v>
      </c>
      <c r="K13" s="923">
        <v>358.00900000000001</v>
      </c>
      <c r="L13" s="919">
        <v>16863.766</v>
      </c>
      <c r="M13" s="671">
        <v>4.92</v>
      </c>
      <c r="N13" s="699">
        <f t="shared" si="6"/>
        <v>17221.775000000001</v>
      </c>
      <c r="P13" s="665">
        <f t="shared" si="7"/>
        <v>852.72040960000015</v>
      </c>
      <c r="Q13" s="472">
        <f t="shared" si="0"/>
        <v>293.27707540000006</v>
      </c>
      <c r="R13" s="666">
        <f t="shared" si="1"/>
        <v>829.69728720000001</v>
      </c>
      <c r="U13" s="668" t="e">
        <f>INDEX($B$7:$N$20,MATCH(7,$F$47:$F$60,FALSE),1)</f>
        <v>#N/A</v>
      </c>
      <c r="V13" s="673" t="e">
        <f>INDEX($B$7:$N$20,MATCH(7,$F$47:$F$60,FALSE),2)</f>
        <v>#N/A</v>
      </c>
      <c r="W13" s="674" t="e">
        <f>INDEX($B$7:$N$20,MATCH(7,$F$47:$F$60,FALSE),3)</f>
        <v>#N/A</v>
      </c>
      <c r="X13" s="675" t="e">
        <f>INDEX($B$7:$N$20,MATCH(7,$F$47:$F$60,FALSE),4)</f>
        <v>#N/A</v>
      </c>
      <c r="Y13" s="663" t="e">
        <f>INDEX($B$7:$N$20,MATCH(7,$F$47:$F$60,FALSE),5)</f>
        <v>#N/A</v>
      </c>
      <c r="Z13" s="673" t="e">
        <f>INDEX($B$7:$N$20,MATCH(7,$F$47:$F$60,FALSE),6)</f>
        <v>#N/A</v>
      </c>
      <c r="AA13" s="674" t="e">
        <f>INDEX($B$7:$N$20,MATCH(7,$F$47:$F$60,FALSE),7)</f>
        <v>#N/A</v>
      </c>
      <c r="AB13" s="675" t="e">
        <f>INDEX($B$7:$N$20,MATCH(7,$F$47:$F$60,FALSE),8)</f>
        <v>#N/A</v>
      </c>
      <c r="AC13" s="663" t="e">
        <f>INDEX($B$7:$N$20,MATCH(7,$F$47:$F$60,FALSE),9)</f>
        <v>#N/A</v>
      </c>
      <c r="AD13" s="676" t="e">
        <f>INDEX($B$7:$N$20,MATCH(7,$F$47:$F$60,FALSE),10)</f>
        <v>#N/A</v>
      </c>
      <c r="AE13" s="674" t="e">
        <f>INDEX($B$7:$N$20,MATCH(7,$F$47:$F$60,FALSE),11)</f>
        <v>#N/A</v>
      </c>
      <c r="AF13" s="675" t="e">
        <f>INDEX($B$7:$N$20,MATCH(7,$F$47:$F$60,FALSE),12)</f>
        <v>#N/A</v>
      </c>
      <c r="AG13" s="663" t="e">
        <f>INDEX($B$7:$N$20,MATCH(7,$F$47:$F$60,FALSE),13)</f>
        <v>#N/A</v>
      </c>
      <c r="AI13" s="665" t="e">
        <f t="shared" si="8"/>
        <v>#N/A</v>
      </c>
      <c r="AJ13" s="472" t="e">
        <f t="shared" si="2"/>
        <v>#N/A</v>
      </c>
      <c r="AK13" s="666" t="e">
        <f t="shared" si="3"/>
        <v>#N/A</v>
      </c>
    </row>
    <row r="14" spans="2:37" ht="15" customHeight="1" x14ac:dyDescent="0.2">
      <c r="B14" s="668" t="s">
        <v>290</v>
      </c>
      <c r="C14" s="918">
        <v>1485.0840000000001</v>
      </c>
      <c r="D14" s="919">
        <v>7796.9870000000001</v>
      </c>
      <c r="E14" s="671">
        <v>6.37</v>
      </c>
      <c r="F14" s="699">
        <f t="shared" si="4"/>
        <v>9282.0709999999999</v>
      </c>
      <c r="G14" s="918">
        <v>701.005</v>
      </c>
      <c r="H14" s="919">
        <v>1162.385</v>
      </c>
      <c r="I14" s="671">
        <v>12.31</v>
      </c>
      <c r="J14" s="699">
        <f t="shared" si="5"/>
        <v>1863.3899999999999</v>
      </c>
      <c r="K14" s="923">
        <v>784.07899999999995</v>
      </c>
      <c r="L14" s="919">
        <v>6620.7129999999997</v>
      </c>
      <c r="M14" s="671">
        <v>7.47</v>
      </c>
      <c r="N14" s="699">
        <f t="shared" si="6"/>
        <v>7404.7919999999995</v>
      </c>
      <c r="P14" s="665">
        <f t="shared" si="7"/>
        <v>496.66807189999997</v>
      </c>
      <c r="Q14" s="472">
        <f t="shared" si="0"/>
        <v>143.08959350000001</v>
      </c>
      <c r="R14" s="666">
        <f t="shared" si="1"/>
        <v>494.56726109999994</v>
      </c>
      <c r="U14" s="668" t="e">
        <f>INDEX($B$7:$N$20,MATCH(8,$F$47:$F$60,FALSE),1)</f>
        <v>#N/A</v>
      </c>
      <c r="V14" s="673" t="e">
        <f>INDEX($B$7:$N$20,MATCH(8,$F$47:$F$60,FALSE),2)</f>
        <v>#N/A</v>
      </c>
      <c r="W14" s="674" t="e">
        <f>INDEX($B$7:$N$20,MATCH(8,$F$47:$F$60,FALSE),3)</f>
        <v>#N/A</v>
      </c>
      <c r="X14" s="675" t="e">
        <f>INDEX($B$7:$N$20,MATCH(8,$F$47:$F$60,FALSE),4)</f>
        <v>#N/A</v>
      </c>
      <c r="Y14" s="663" t="e">
        <f>INDEX($B$7:$N$20,MATCH(8,$F$47:$F$60,FALSE),5)</f>
        <v>#N/A</v>
      </c>
      <c r="Z14" s="673" t="e">
        <f>INDEX($B$7:$N$20,MATCH(8,$F$47:$F$60,FALSE),6)</f>
        <v>#N/A</v>
      </c>
      <c r="AA14" s="674" t="e">
        <f>INDEX($B$7:$N$20,MATCH(8,$F$47:$F$60,FALSE),7)</f>
        <v>#N/A</v>
      </c>
      <c r="AB14" s="675" t="e">
        <f>INDEX($B$7:$N$20,MATCH(8,$F$47:$F$60,FALSE),8)</f>
        <v>#N/A</v>
      </c>
      <c r="AC14" s="663" t="e">
        <f>INDEX($B$7:$N$20,MATCH(8,$F$47:$F$60,FALSE),9)</f>
        <v>#N/A</v>
      </c>
      <c r="AD14" s="676" t="e">
        <f>INDEX($B$7:$N$20,MATCH(8,$F$47:$F$60,FALSE),10)</f>
        <v>#N/A</v>
      </c>
      <c r="AE14" s="674" t="e">
        <f>INDEX($B$7:$N$20,MATCH(8,$F$47:$F$60,FALSE),11)</f>
        <v>#N/A</v>
      </c>
      <c r="AF14" s="675" t="e">
        <f>INDEX($B$7:$N$20,MATCH(8,$F$47:$F$60,FALSE),12)</f>
        <v>#N/A</v>
      </c>
      <c r="AG14" s="663" t="e">
        <f>INDEX($B$7:$N$20,MATCH(8,$F$47:$F$60,FALSE),13)</f>
        <v>#N/A</v>
      </c>
      <c r="AI14" s="665" t="e">
        <f t="shared" si="8"/>
        <v>#N/A</v>
      </c>
      <c r="AJ14" s="472" t="e">
        <f t="shared" si="2"/>
        <v>#N/A</v>
      </c>
      <c r="AK14" s="666" t="e">
        <f t="shared" si="3"/>
        <v>#N/A</v>
      </c>
    </row>
    <row r="15" spans="2:37" ht="15" customHeight="1" x14ac:dyDescent="0.2">
      <c r="B15" s="668" t="s">
        <v>291</v>
      </c>
      <c r="C15" s="918">
        <v>6731.116</v>
      </c>
      <c r="D15" s="919">
        <v>13663.496999999999</v>
      </c>
      <c r="E15" s="671">
        <v>5.29</v>
      </c>
      <c r="F15" s="699">
        <f t="shared" si="4"/>
        <v>20394.612999999998</v>
      </c>
      <c r="G15" s="918">
        <v>6610.5060000000003</v>
      </c>
      <c r="H15" s="919">
        <v>8211.4609999999993</v>
      </c>
      <c r="I15" s="671">
        <v>7.64</v>
      </c>
      <c r="J15" s="699">
        <f t="shared" si="5"/>
        <v>14821.967000000001</v>
      </c>
      <c r="K15" s="923">
        <v>120.61</v>
      </c>
      <c r="L15" s="919">
        <v>5436.1059999999998</v>
      </c>
      <c r="M15" s="671">
        <v>7.43</v>
      </c>
      <c r="N15" s="699">
        <f t="shared" si="6"/>
        <v>5556.7159999999994</v>
      </c>
      <c r="P15" s="665">
        <f t="shared" si="7"/>
        <v>722.7989912999999</v>
      </c>
      <c r="Q15" s="472">
        <f t="shared" si="0"/>
        <v>627.35562039999991</v>
      </c>
      <c r="R15" s="666">
        <f t="shared" si="1"/>
        <v>403.9026758</v>
      </c>
      <c r="U15" s="668" t="e">
        <f>INDEX($B$7:$N$20,MATCH(9,$F$47:$F$60,FALSE),1)</f>
        <v>#N/A</v>
      </c>
      <c r="V15" s="673" t="e">
        <f>INDEX($B$7:$N$20,MATCH(9,$F$47:$F$60,FALSE),2)</f>
        <v>#N/A</v>
      </c>
      <c r="W15" s="674" t="e">
        <f>INDEX($B$7:$N$20,MATCH(9,$F$47:$F$60,FALSE),3)</f>
        <v>#N/A</v>
      </c>
      <c r="X15" s="675" t="e">
        <f>INDEX($B$7:$N$20,MATCH(9,$F$47:$F$60,FALSE),4)</f>
        <v>#N/A</v>
      </c>
      <c r="Y15" s="663" t="e">
        <f>INDEX($B$7:$N$20,MATCH(9,$F$47:$F$60,FALSE),5)</f>
        <v>#N/A</v>
      </c>
      <c r="Z15" s="673" t="e">
        <f>INDEX($B$7:$N$20,MATCH(9,$F$47:$F$60,FALSE),6)</f>
        <v>#N/A</v>
      </c>
      <c r="AA15" s="674" t="e">
        <f>INDEX($B$7:$N$20,MATCH(9,$F$47:$F$60,FALSE),7)</f>
        <v>#N/A</v>
      </c>
      <c r="AB15" s="675" t="e">
        <f>INDEX($B$7:$N$20,MATCH(9,$F$47:$F$60,FALSE),8)</f>
        <v>#N/A</v>
      </c>
      <c r="AC15" s="663" t="e">
        <f>INDEX($B$7:$N$20,MATCH(9,$F$47:$F$60,FALSE),9)</f>
        <v>#N/A</v>
      </c>
      <c r="AD15" s="676" t="e">
        <f>INDEX($B$7:$N$20,MATCH(9,$F$47:$F$60,FALSE),10)</f>
        <v>#N/A</v>
      </c>
      <c r="AE15" s="674" t="e">
        <f>INDEX($B$7:$N$20,MATCH(9,$F$47:$F$60,FALSE),11)</f>
        <v>#N/A</v>
      </c>
      <c r="AF15" s="675" t="e">
        <f>INDEX($B$7:$N$20,MATCH(9,$F$47:$F$60,FALSE),12)</f>
        <v>#N/A</v>
      </c>
      <c r="AG15" s="663" t="e">
        <f>INDEX($B$7:$N$20,MATCH(9,$F$47:$F$60,FALSE),13)</f>
        <v>#N/A</v>
      </c>
      <c r="AI15" s="665" t="e">
        <f t="shared" si="8"/>
        <v>#N/A</v>
      </c>
      <c r="AJ15" s="472" t="e">
        <f t="shared" si="2"/>
        <v>#N/A</v>
      </c>
      <c r="AK15" s="666" t="e">
        <f t="shared" si="3"/>
        <v>#N/A</v>
      </c>
    </row>
    <row r="16" spans="2:37" ht="15" customHeight="1" x14ac:dyDescent="0.2">
      <c r="B16" s="668" t="s">
        <v>292</v>
      </c>
      <c r="C16" s="918">
        <v>5741.1769999999997</v>
      </c>
      <c r="D16" s="919">
        <v>23020.916000000001</v>
      </c>
      <c r="E16" s="671">
        <v>3.18</v>
      </c>
      <c r="F16" s="699">
        <f t="shared" si="4"/>
        <v>28762.093000000001</v>
      </c>
      <c r="G16" s="918">
        <v>2183.2530000000002</v>
      </c>
      <c r="H16" s="919">
        <v>4713.0029999999997</v>
      </c>
      <c r="I16" s="671">
        <v>6.44</v>
      </c>
      <c r="J16" s="699">
        <f t="shared" si="5"/>
        <v>6896.2559999999994</v>
      </c>
      <c r="K16" s="923">
        <v>3557.924</v>
      </c>
      <c r="L16" s="919">
        <v>18296.802</v>
      </c>
      <c r="M16" s="671">
        <v>3.74</v>
      </c>
      <c r="N16" s="699">
        <f t="shared" si="6"/>
        <v>21854.725999999999</v>
      </c>
      <c r="P16" s="665">
        <f t="shared" si="7"/>
        <v>732.06512880000014</v>
      </c>
      <c r="Q16" s="472">
        <f t="shared" si="0"/>
        <v>303.51739320000001</v>
      </c>
      <c r="R16" s="666">
        <f t="shared" si="1"/>
        <v>684.30039480000005</v>
      </c>
      <c r="U16" s="668" t="e">
        <f>INDEX($B$7:$N$20,MATCH(10,$F$47:$F$60,FALSE),1)</f>
        <v>#N/A</v>
      </c>
      <c r="V16" s="673" t="e">
        <f>INDEX($B$7:$N$20,MATCH(10,$F$47:$F$60,FALSE),2)</f>
        <v>#N/A</v>
      </c>
      <c r="W16" s="674" t="e">
        <f>INDEX($B$7:$N$20,MATCH(10,$F$47:$F$60,FALSE),3)</f>
        <v>#N/A</v>
      </c>
      <c r="X16" s="675" t="e">
        <f>INDEX($B$7:$N$20,MATCH(10,$F$47:$F$60,FALSE),4)</f>
        <v>#N/A</v>
      </c>
      <c r="Y16" s="663" t="e">
        <f>INDEX($B$7:$N$20,MATCH(10,$F$47:$F$60,FALSE),5)</f>
        <v>#N/A</v>
      </c>
      <c r="Z16" s="673" t="e">
        <f>INDEX($B$7:$N$20,MATCH(10,$F$47:$F$60,FALSE),6)</f>
        <v>#N/A</v>
      </c>
      <c r="AA16" s="674" t="e">
        <f>INDEX($B$7:$N$20,MATCH(10,$F$47:$F$60,FALSE),7)</f>
        <v>#N/A</v>
      </c>
      <c r="AB16" s="675" t="e">
        <f>INDEX($B$7:$N$20,MATCH(10,$F$47:$F$60,FALSE),8)</f>
        <v>#N/A</v>
      </c>
      <c r="AC16" s="663" t="e">
        <f>INDEX($B$7:$N$20,MATCH(10,$F$47:$F$60,FALSE),9)</f>
        <v>#N/A</v>
      </c>
      <c r="AD16" s="676" t="e">
        <f>INDEX($B$7:$N$20,MATCH(10,$F$47:$F$60,FALSE),10)</f>
        <v>#N/A</v>
      </c>
      <c r="AE16" s="674" t="e">
        <f>INDEX($B$7:$N$20,MATCH(10,$F$47:$F$60,FALSE),11)</f>
        <v>#N/A</v>
      </c>
      <c r="AF16" s="675" t="e">
        <f>INDEX($B$7:$N$20,MATCH(10,$F$47:$F$60,FALSE),12)</f>
        <v>#N/A</v>
      </c>
      <c r="AG16" s="663" t="e">
        <f>INDEX($B$7:$N$20,MATCH(10,$F$47:$F$60,FALSE),13)</f>
        <v>#N/A</v>
      </c>
      <c r="AI16" s="665" t="e">
        <f t="shared" si="8"/>
        <v>#N/A</v>
      </c>
      <c r="AJ16" s="472" t="e">
        <f t="shared" si="2"/>
        <v>#N/A</v>
      </c>
      <c r="AK16" s="666" t="e">
        <f t="shared" si="3"/>
        <v>#N/A</v>
      </c>
    </row>
    <row r="17" spans="2:37" ht="15" customHeight="1" x14ac:dyDescent="0.2">
      <c r="B17" s="668" t="s">
        <v>293</v>
      </c>
      <c r="C17" s="918">
        <v>493.28500000000003</v>
      </c>
      <c r="D17" s="919">
        <v>21561.99</v>
      </c>
      <c r="E17" s="671">
        <v>3.33</v>
      </c>
      <c r="F17" s="699">
        <f t="shared" si="4"/>
        <v>22055.275000000001</v>
      </c>
      <c r="G17" s="918">
        <v>273.46699999999998</v>
      </c>
      <c r="H17" s="919">
        <v>5134.9880000000003</v>
      </c>
      <c r="I17" s="671">
        <v>7</v>
      </c>
      <c r="J17" s="699">
        <f t="shared" si="5"/>
        <v>5408.4549999999999</v>
      </c>
      <c r="K17" s="923">
        <v>219.81800000000001</v>
      </c>
      <c r="L17" s="919">
        <v>16471.534</v>
      </c>
      <c r="M17" s="671">
        <v>3.95</v>
      </c>
      <c r="N17" s="699">
        <f t="shared" si="6"/>
        <v>16691.351999999999</v>
      </c>
      <c r="P17" s="665">
        <f t="shared" si="7"/>
        <v>718.01426700000013</v>
      </c>
      <c r="Q17" s="472">
        <f t="shared" si="0"/>
        <v>359.44916000000006</v>
      </c>
      <c r="R17" s="666">
        <f t="shared" si="1"/>
        <v>650.62559299999998</v>
      </c>
      <c r="U17" s="668" t="e">
        <f>INDEX($B$7:$N$20,MATCH(11,$F$47:$F$60,FALSE),1)</f>
        <v>#N/A</v>
      </c>
      <c r="V17" s="673" t="e">
        <f>INDEX($B$7:$N$20,MATCH(11,$F$47:$F$60,FALSE),2)</f>
        <v>#N/A</v>
      </c>
      <c r="W17" s="674" t="e">
        <f>INDEX($B$7:$N$20,MATCH(11,$F$47:$F$60,FALSE),3)</f>
        <v>#N/A</v>
      </c>
      <c r="X17" s="675" t="e">
        <f>INDEX($B$7:$N$20,MATCH(11,$F$47:$F$60,FALSE),4)</f>
        <v>#N/A</v>
      </c>
      <c r="Y17" s="663" t="e">
        <f>INDEX($B$7:$N$20,MATCH(11,$F$47:$F$60,FALSE),5)</f>
        <v>#N/A</v>
      </c>
      <c r="Z17" s="673" t="e">
        <f>INDEX($B$7:$N$20,MATCH(11,$F$47:$F$60,FALSE),6)</f>
        <v>#N/A</v>
      </c>
      <c r="AA17" s="674" t="e">
        <f>INDEX($B$7:$N$20,MATCH(11,$F$47:$F$60,FALSE),7)</f>
        <v>#N/A</v>
      </c>
      <c r="AB17" s="675" t="e">
        <f>INDEX($B$7:$N$20,MATCH(11,$F$47:$F$60,FALSE),8)</f>
        <v>#N/A</v>
      </c>
      <c r="AC17" s="663" t="e">
        <f>INDEX($B$7:$N$20,MATCH(11,$F$47:$F$60,FALSE),9)</f>
        <v>#N/A</v>
      </c>
      <c r="AD17" s="676" t="e">
        <f>INDEX($B$7:$N$20,MATCH(11,$F$47:$F$60,FALSE),10)</f>
        <v>#N/A</v>
      </c>
      <c r="AE17" s="674" t="e">
        <f>INDEX($B$7:$N$20,MATCH(11,$F$47:$F$60,FALSE),11)</f>
        <v>#N/A</v>
      </c>
      <c r="AF17" s="675" t="e">
        <f>INDEX($B$7:$N$20,MATCH(11,$F$47:$F$60,FALSE),12)</f>
        <v>#N/A</v>
      </c>
      <c r="AG17" s="663" t="e">
        <f>INDEX($B$7:$N$20,MATCH(11,$F$47:$F$60,FALSE),13)</f>
        <v>#N/A</v>
      </c>
      <c r="AI17" s="665" t="e">
        <f t="shared" si="8"/>
        <v>#N/A</v>
      </c>
      <c r="AJ17" s="472" t="e">
        <f t="shared" si="2"/>
        <v>#N/A</v>
      </c>
      <c r="AK17" s="666" t="e">
        <f t="shared" si="3"/>
        <v>#N/A</v>
      </c>
    </row>
    <row r="18" spans="2:37" ht="15" customHeight="1" x14ac:dyDescent="0.2">
      <c r="B18" s="668" t="s">
        <v>294</v>
      </c>
      <c r="C18" s="918">
        <v>4162.5219999999999</v>
      </c>
      <c r="D18" s="919">
        <v>23342.064999999999</v>
      </c>
      <c r="E18" s="671">
        <v>4.28</v>
      </c>
      <c r="F18" s="699">
        <f t="shared" si="4"/>
        <v>27504.587</v>
      </c>
      <c r="G18" s="918">
        <v>1422.7909999999999</v>
      </c>
      <c r="H18" s="919">
        <v>6317.1670000000004</v>
      </c>
      <c r="I18" s="671">
        <v>8.24</v>
      </c>
      <c r="J18" s="699">
        <f t="shared" si="5"/>
        <v>7739.9580000000005</v>
      </c>
      <c r="K18" s="923">
        <v>776.69600000000003</v>
      </c>
      <c r="L18" s="919">
        <v>17087.502</v>
      </c>
      <c r="M18" s="671">
        <v>5.19</v>
      </c>
      <c r="N18" s="699">
        <f t="shared" si="6"/>
        <v>17864.198</v>
      </c>
      <c r="P18" s="665">
        <f t="shared" si="7"/>
        <v>999.04038199999991</v>
      </c>
      <c r="Q18" s="472">
        <f t="shared" si="0"/>
        <v>520.53456080000001</v>
      </c>
      <c r="R18" s="666">
        <f t="shared" si="1"/>
        <v>886.84135380000009</v>
      </c>
      <c r="U18" s="668" t="e">
        <f>INDEX($B$7:$N$20,MATCH(12,$F$47:$F$60,FALSE),1)</f>
        <v>#N/A</v>
      </c>
      <c r="V18" s="673" t="e">
        <f>INDEX($B$7:$N$20,MATCH(12,$F$47:$F$60,FALSE),2)</f>
        <v>#N/A</v>
      </c>
      <c r="W18" s="674" t="e">
        <f>INDEX($B$7:$N$20,MATCH(12,$F$47:$F$60,FALSE),3)</f>
        <v>#N/A</v>
      </c>
      <c r="X18" s="675" t="e">
        <f>INDEX($B$7:$N$20,MATCH(12,$F$47:$F$60,FALSE),4)</f>
        <v>#N/A</v>
      </c>
      <c r="Y18" s="663" t="e">
        <f>INDEX($B$7:$N$20,MATCH(12,$F$47:$F$60,FALSE),5)</f>
        <v>#N/A</v>
      </c>
      <c r="Z18" s="673" t="e">
        <f>INDEX($B$7:$N$20,MATCH(12,$F$47:$F$60,FALSE),6)</f>
        <v>#N/A</v>
      </c>
      <c r="AA18" s="674" t="e">
        <f>INDEX($B$7:$N$20,MATCH(12,$F$47:$F$60,FALSE),7)</f>
        <v>#N/A</v>
      </c>
      <c r="AB18" s="675" t="e">
        <f>INDEX($B$7:$N$20,MATCH(12,$F$47:$F$60,FALSE),8)</f>
        <v>#N/A</v>
      </c>
      <c r="AC18" s="663" t="e">
        <f>INDEX($B$7:$N$20,MATCH(12,$F$47:$F$60,FALSE),9)</f>
        <v>#N/A</v>
      </c>
      <c r="AD18" s="676" t="e">
        <f>INDEX($B$7:$N$20,MATCH(12,$F$47:$F$60,FALSE),10)</f>
        <v>#N/A</v>
      </c>
      <c r="AE18" s="674" t="e">
        <f>INDEX($B$7:$N$20,MATCH(12,$F$47:$F$60,FALSE),11)</f>
        <v>#N/A</v>
      </c>
      <c r="AF18" s="675" t="e">
        <f>INDEX($B$7:$N$20,MATCH(12,$F$47:$F$60,FALSE),12)</f>
        <v>#N/A</v>
      </c>
      <c r="AG18" s="663" t="e">
        <f>INDEX($B$7:$N$20,MATCH(12,$F$47:$F$60,FALSE),13)</f>
        <v>#N/A</v>
      </c>
      <c r="AI18" s="665" t="e">
        <f t="shared" si="8"/>
        <v>#N/A</v>
      </c>
      <c r="AJ18" s="472" t="e">
        <f t="shared" si="2"/>
        <v>#N/A</v>
      </c>
      <c r="AK18" s="666" t="e">
        <f t="shared" si="3"/>
        <v>#N/A</v>
      </c>
    </row>
    <row r="19" spans="2:37" ht="15" customHeight="1" x14ac:dyDescent="0.2">
      <c r="B19" s="668" t="s">
        <v>295</v>
      </c>
      <c r="C19" s="918">
        <v>2199.4859999999999</v>
      </c>
      <c r="D19" s="919">
        <v>30266.026000000002</v>
      </c>
      <c r="E19" s="671">
        <v>4.7</v>
      </c>
      <c r="F19" s="699">
        <f t="shared" si="4"/>
        <v>32465.512000000002</v>
      </c>
      <c r="G19" s="918">
        <v>3057.8180000000002</v>
      </c>
      <c r="H19" s="919">
        <v>8707.0329999999994</v>
      </c>
      <c r="I19" s="671">
        <v>9.33</v>
      </c>
      <c r="J19" s="699">
        <f t="shared" si="5"/>
        <v>11764.850999999999</v>
      </c>
      <c r="K19" s="923">
        <v>1104.704</v>
      </c>
      <c r="L19" s="919">
        <v>21614.151999999998</v>
      </c>
      <c r="M19" s="671">
        <v>5.39</v>
      </c>
      <c r="N19" s="699">
        <f t="shared" si="6"/>
        <v>22718.856</v>
      </c>
      <c r="P19" s="665">
        <f t="shared" si="7"/>
        <v>1422.5032220000003</v>
      </c>
      <c r="Q19" s="472">
        <f t="shared" si="0"/>
        <v>812.36617889999991</v>
      </c>
      <c r="R19" s="666">
        <f t="shared" si="1"/>
        <v>1165.0027928</v>
      </c>
      <c r="U19" s="668" t="e">
        <f>INDEX($B$7:$N$20,MATCH(13,$F$47:$F$60,FALSE),1)</f>
        <v>#N/A</v>
      </c>
      <c r="V19" s="673" t="e">
        <f>INDEX($B$7:$N$20,MATCH(13,$F$47:$F$60,FALSE),2)</f>
        <v>#N/A</v>
      </c>
      <c r="W19" s="674" t="e">
        <f>INDEX($B$7:$N$20,MATCH(13,$F$47:$F$60,FALSE),3)</f>
        <v>#N/A</v>
      </c>
      <c r="X19" s="675" t="e">
        <f>INDEX($B$7:$N$20,MATCH(13,$F$47:$F$60,FALSE),4)</f>
        <v>#N/A</v>
      </c>
      <c r="Y19" s="663" t="e">
        <f>INDEX($B$7:$N$20,MATCH(13,$F$47:$F$60,FALSE),5)</f>
        <v>#N/A</v>
      </c>
      <c r="Z19" s="673" t="e">
        <f>INDEX($B$7:$N$20,MATCH(13,$F$47:$F$60,FALSE),6)</f>
        <v>#N/A</v>
      </c>
      <c r="AA19" s="674" t="e">
        <f>INDEX($B$7:$N$20,MATCH(13,$F$47:$F$60,FALSE),7)</f>
        <v>#N/A</v>
      </c>
      <c r="AB19" s="675" t="e">
        <f>INDEX($B$7:$N$20,MATCH(13,$F$47:$F$60,FALSE),8)</f>
        <v>#N/A</v>
      </c>
      <c r="AC19" s="663" t="e">
        <f>INDEX($B$7:$N$20,MATCH(13,$F$47:$F$60,FALSE),9)</f>
        <v>#N/A</v>
      </c>
      <c r="AD19" s="676" t="e">
        <f>INDEX($B$7:$N$20,MATCH(13,$F$47:$F$60,FALSE),10)</f>
        <v>#N/A</v>
      </c>
      <c r="AE19" s="674" t="e">
        <f>INDEX($B$7:$N$20,MATCH(13,$F$47:$F$60,FALSE),11)</f>
        <v>#N/A</v>
      </c>
      <c r="AF19" s="675" t="e">
        <f>INDEX($B$7:$N$20,MATCH(13,$F$47:$F$60,FALSE),12)</f>
        <v>#N/A</v>
      </c>
      <c r="AG19" s="663" t="e">
        <f>INDEX($B$7:$N$20,MATCH(13,$F$47:$F$60,FALSE),13)</f>
        <v>#N/A</v>
      </c>
      <c r="AI19" s="665" t="e">
        <f t="shared" si="8"/>
        <v>#N/A</v>
      </c>
      <c r="AJ19" s="472" t="e">
        <f t="shared" si="2"/>
        <v>#N/A</v>
      </c>
      <c r="AK19" s="666" t="e">
        <f t="shared" si="3"/>
        <v>#N/A</v>
      </c>
    </row>
    <row r="20" spans="2:37" ht="15" customHeight="1" thickBot="1" x14ac:dyDescent="0.25">
      <c r="B20" s="677" t="s">
        <v>296</v>
      </c>
      <c r="C20" s="920">
        <v>2737.3220000000001</v>
      </c>
      <c r="D20" s="921">
        <v>17224.383999999998</v>
      </c>
      <c r="E20" s="680">
        <v>3.48</v>
      </c>
      <c r="F20" s="702">
        <f t="shared" si="4"/>
        <v>19961.705999999998</v>
      </c>
      <c r="G20" s="920">
        <v>2406.424</v>
      </c>
      <c r="H20" s="921">
        <v>5977.9780000000001</v>
      </c>
      <c r="I20" s="680">
        <v>6.12</v>
      </c>
      <c r="J20" s="702">
        <f t="shared" si="5"/>
        <v>8384.402</v>
      </c>
      <c r="K20" s="924">
        <v>330.89800000000002</v>
      </c>
      <c r="L20" s="921">
        <v>11256.602000000001</v>
      </c>
      <c r="M20" s="680">
        <v>4.5599999999999996</v>
      </c>
      <c r="N20" s="702">
        <f t="shared" si="6"/>
        <v>11587.5</v>
      </c>
      <c r="P20" s="683">
        <f t="shared" si="7"/>
        <v>599.40856319999989</v>
      </c>
      <c r="Q20" s="684">
        <f t="shared" si="0"/>
        <v>365.85225360000004</v>
      </c>
      <c r="R20" s="685">
        <f t="shared" si="1"/>
        <v>513.30105119999996</v>
      </c>
      <c r="U20" s="677" t="e">
        <f>INDEX($B$7:$N$20,MATCH(14,$F$47:$F$60,FALSE),1)</f>
        <v>#N/A</v>
      </c>
      <c r="V20" s="686" t="e">
        <f>INDEX($B$7:$N$20,MATCH(14,$F$47:$F$60,FALSE),2)</f>
        <v>#N/A</v>
      </c>
      <c r="W20" s="687" t="e">
        <f>INDEX($B$7:$N$20,MATCH(14,$F$47:$F$60,FALSE),3)</f>
        <v>#N/A</v>
      </c>
      <c r="X20" s="688" t="e">
        <f>INDEX($B$7:$N$20,MATCH(14,$F$47:$F$60,FALSE),4)</f>
        <v>#N/A</v>
      </c>
      <c r="Y20" s="681" t="e">
        <f>INDEX($B$7:$N$20,MATCH(14,$F$47:$F$60,FALSE),5)</f>
        <v>#N/A</v>
      </c>
      <c r="Z20" s="686" t="e">
        <f>INDEX($B$7:$N$20,MATCH(14,$F$47:$F$60,FALSE),6)</f>
        <v>#N/A</v>
      </c>
      <c r="AA20" s="687" t="e">
        <f>INDEX($B$7:$N$20,MATCH(14,$F$47:$F$60,FALSE),7)</f>
        <v>#N/A</v>
      </c>
      <c r="AB20" s="688" t="e">
        <f>INDEX($B$7:$N$20,MATCH(14,$F$47:$F$60,FALSE),8)</f>
        <v>#N/A</v>
      </c>
      <c r="AC20" s="681" t="e">
        <f>INDEX($B$7:$N$20,MATCH(14,$F$47:$F$60,FALSE),9)</f>
        <v>#N/A</v>
      </c>
      <c r="AD20" s="689" t="e">
        <f>INDEX($B$7:$N$20,MATCH(14,$F$47:$F$60,FALSE),10)</f>
        <v>#N/A</v>
      </c>
      <c r="AE20" s="687" t="e">
        <f>INDEX($B$7:$N$20,MATCH(14,$F$47:$F$60,FALSE),11)</f>
        <v>#N/A</v>
      </c>
      <c r="AF20" s="688" t="e">
        <f>INDEX($B$7:$N$20,MATCH(14,$F$47:$F$60,FALSE),12)</f>
        <v>#N/A</v>
      </c>
      <c r="AG20" s="681" t="e">
        <f>INDEX($B$7:$N$20,MATCH(14,$F$47:$F$60,FALSE),13)</f>
        <v>#N/A</v>
      </c>
      <c r="AI20" s="683" t="e">
        <f t="shared" si="8"/>
        <v>#N/A</v>
      </c>
      <c r="AJ20" s="684" t="e">
        <f t="shared" si="2"/>
        <v>#N/A</v>
      </c>
      <c r="AK20" s="685" t="e">
        <f t="shared" si="3"/>
        <v>#N/A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/>
      <c r="C26" s="660"/>
      <c r="D26" s="661"/>
      <c r="E26" s="662"/>
      <c r="F26" s="663"/>
      <c r="G26" s="664"/>
      <c r="H26" s="661"/>
      <c r="I26" s="662"/>
      <c r="J26" s="696"/>
      <c r="K26" s="664"/>
      <c r="L26" s="661"/>
      <c r="M26" s="662"/>
      <c r="N26" s="696"/>
      <c r="P26" s="665"/>
      <c r="Q26" s="472"/>
      <c r="R26" s="666"/>
    </row>
    <row r="27" spans="2:37" ht="15" customHeight="1" x14ac:dyDescent="0.2">
      <c r="B27" s="668"/>
      <c r="C27" s="669"/>
      <c r="D27" s="670"/>
      <c r="E27" s="671"/>
      <c r="F27" s="663"/>
      <c r="G27" s="672"/>
      <c r="H27" s="670"/>
      <c r="I27" s="671"/>
      <c r="J27" s="696"/>
      <c r="K27" s="672"/>
      <c r="L27" s="670"/>
      <c r="M27" s="671"/>
      <c r="N27" s="696"/>
      <c r="P27" s="665"/>
      <c r="Q27" s="472"/>
      <c r="R27" s="666"/>
    </row>
    <row r="28" spans="2:37" ht="15" customHeight="1" x14ac:dyDescent="0.2">
      <c r="B28" s="668"/>
      <c r="C28" s="669"/>
      <c r="D28" s="670"/>
      <c r="E28" s="671"/>
      <c r="F28" s="663"/>
      <c r="G28" s="672"/>
      <c r="H28" s="670"/>
      <c r="I28" s="671"/>
      <c r="J28" s="696"/>
      <c r="K28" s="672"/>
      <c r="L28" s="670"/>
      <c r="M28" s="671"/>
      <c r="N28" s="696"/>
      <c r="P28" s="665"/>
      <c r="Q28" s="472"/>
      <c r="R28" s="666"/>
    </row>
    <row r="29" spans="2:37" ht="15" customHeight="1" x14ac:dyDescent="0.2">
      <c r="B29" s="668"/>
      <c r="C29" s="669"/>
      <c r="D29" s="670"/>
      <c r="E29" s="671"/>
      <c r="F29" s="663"/>
      <c r="G29" s="672"/>
      <c r="H29" s="670"/>
      <c r="I29" s="671"/>
      <c r="J29" s="696"/>
      <c r="K29" s="672"/>
      <c r="L29" s="670"/>
      <c r="M29" s="671"/>
      <c r="N29" s="696"/>
      <c r="P29" s="665"/>
      <c r="Q29" s="472"/>
      <c r="R29" s="666"/>
    </row>
    <row r="30" spans="2:37" ht="15" customHeight="1" x14ac:dyDescent="0.2">
      <c r="B30" s="668"/>
      <c r="C30" s="669"/>
      <c r="D30" s="670"/>
      <c r="E30" s="671"/>
      <c r="F30" s="663"/>
      <c r="G30" s="672"/>
      <c r="H30" s="670"/>
      <c r="I30" s="671"/>
      <c r="J30" s="696"/>
      <c r="K30" s="672"/>
      <c r="L30" s="670"/>
      <c r="M30" s="671"/>
      <c r="N30" s="696"/>
      <c r="P30" s="665"/>
      <c r="Q30" s="472"/>
      <c r="R30" s="666"/>
    </row>
    <row r="31" spans="2:37" ht="15" customHeight="1" x14ac:dyDescent="0.2">
      <c r="B31" s="668"/>
      <c r="C31" s="669"/>
      <c r="D31" s="670"/>
      <c r="E31" s="671"/>
      <c r="F31" s="663"/>
      <c r="G31" s="672"/>
      <c r="H31" s="670"/>
      <c r="I31" s="671"/>
      <c r="J31" s="696"/>
      <c r="K31" s="672"/>
      <c r="L31" s="670"/>
      <c r="M31" s="671"/>
      <c r="N31" s="696"/>
      <c r="P31" s="665"/>
      <c r="Q31" s="472"/>
      <c r="R31" s="666"/>
    </row>
    <row r="32" spans="2:37" ht="15" customHeight="1" x14ac:dyDescent="0.2">
      <c r="B32" s="668"/>
      <c r="C32" s="669"/>
      <c r="D32" s="670"/>
      <c r="E32" s="671"/>
      <c r="F32" s="663"/>
      <c r="G32" s="672"/>
      <c r="H32" s="670"/>
      <c r="I32" s="671"/>
      <c r="J32" s="696"/>
      <c r="K32" s="672"/>
      <c r="L32" s="670"/>
      <c r="M32" s="671"/>
      <c r="N32" s="696"/>
      <c r="P32" s="665"/>
      <c r="Q32" s="472"/>
      <c r="R32" s="666"/>
    </row>
    <row r="33" spans="2:18" ht="15" customHeight="1" x14ac:dyDescent="0.2">
      <c r="B33" s="668"/>
      <c r="C33" s="669"/>
      <c r="D33" s="670"/>
      <c r="E33" s="671"/>
      <c r="F33" s="663"/>
      <c r="G33" s="672"/>
      <c r="H33" s="670"/>
      <c r="I33" s="671"/>
      <c r="J33" s="696"/>
      <c r="K33" s="672"/>
      <c r="L33" s="670"/>
      <c r="M33" s="671"/>
      <c r="N33" s="696"/>
      <c r="P33" s="665"/>
      <c r="Q33" s="472"/>
      <c r="R33" s="666"/>
    </row>
    <row r="34" spans="2:18" ht="15" customHeight="1" x14ac:dyDescent="0.2">
      <c r="B34" s="668"/>
      <c r="C34" s="669"/>
      <c r="D34" s="670"/>
      <c r="E34" s="671"/>
      <c r="F34" s="663"/>
      <c r="G34" s="672"/>
      <c r="H34" s="670"/>
      <c r="I34" s="671"/>
      <c r="J34" s="696"/>
      <c r="K34" s="672"/>
      <c r="L34" s="670"/>
      <c r="M34" s="671"/>
      <c r="N34" s="696"/>
      <c r="P34" s="665"/>
      <c r="Q34" s="472"/>
      <c r="R34" s="666"/>
    </row>
    <row r="35" spans="2:18" ht="15" customHeight="1" x14ac:dyDescent="0.2">
      <c r="B35" s="668"/>
      <c r="C35" s="669"/>
      <c r="D35" s="670"/>
      <c r="E35" s="671"/>
      <c r="F35" s="663"/>
      <c r="G35" s="672"/>
      <c r="H35" s="670"/>
      <c r="I35" s="671"/>
      <c r="J35" s="696"/>
      <c r="K35" s="672"/>
      <c r="L35" s="670"/>
      <c r="M35" s="671"/>
      <c r="N35" s="696"/>
      <c r="P35" s="665"/>
      <c r="Q35" s="472"/>
      <c r="R35" s="666"/>
    </row>
    <row r="36" spans="2:18" ht="15" customHeight="1" x14ac:dyDescent="0.2">
      <c r="B36" s="668"/>
      <c r="C36" s="669"/>
      <c r="D36" s="670"/>
      <c r="E36" s="671"/>
      <c r="F36" s="663"/>
      <c r="G36" s="672"/>
      <c r="H36" s="670"/>
      <c r="I36" s="671"/>
      <c r="J36" s="696"/>
      <c r="K36" s="672"/>
      <c r="L36" s="670"/>
      <c r="M36" s="671"/>
      <c r="N36" s="696"/>
      <c r="P36" s="665"/>
      <c r="Q36" s="472"/>
      <c r="R36" s="666"/>
    </row>
    <row r="37" spans="2:18" ht="15" customHeight="1" x14ac:dyDescent="0.2">
      <c r="B37" s="668"/>
      <c r="C37" s="669"/>
      <c r="D37" s="670"/>
      <c r="E37" s="671"/>
      <c r="F37" s="663"/>
      <c r="G37" s="672"/>
      <c r="H37" s="670"/>
      <c r="I37" s="671"/>
      <c r="J37" s="696"/>
      <c r="K37" s="672"/>
      <c r="L37" s="670"/>
      <c r="M37" s="671"/>
      <c r="N37" s="696"/>
      <c r="P37" s="665"/>
      <c r="Q37" s="472"/>
      <c r="R37" s="666"/>
    </row>
    <row r="38" spans="2:18" ht="15" customHeight="1" x14ac:dyDescent="0.2">
      <c r="B38" s="668"/>
      <c r="C38" s="669"/>
      <c r="D38" s="670"/>
      <c r="E38" s="671"/>
      <c r="F38" s="663"/>
      <c r="G38" s="672"/>
      <c r="H38" s="670"/>
      <c r="I38" s="671"/>
      <c r="J38" s="696"/>
      <c r="K38" s="672"/>
      <c r="L38" s="670"/>
      <c r="M38" s="671"/>
      <c r="N38" s="696"/>
      <c r="P38" s="665"/>
      <c r="Q38" s="472"/>
      <c r="R38" s="666"/>
    </row>
    <row r="39" spans="2:18" ht="15" customHeight="1" x14ac:dyDescent="0.2">
      <c r="B39" s="668"/>
      <c r="C39" s="669"/>
      <c r="D39" s="670"/>
      <c r="E39" s="671"/>
      <c r="F39" s="663"/>
      <c r="G39" s="672"/>
      <c r="H39" s="670"/>
      <c r="I39" s="671"/>
      <c r="J39" s="696"/>
      <c r="K39" s="672"/>
      <c r="L39" s="670"/>
      <c r="M39" s="671"/>
      <c r="N39" s="696"/>
      <c r="P39" s="665"/>
      <c r="Q39" s="472"/>
      <c r="R39" s="666"/>
    </row>
    <row r="40" spans="2:18" ht="15" customHeight="1" thickBot="1" x14ac:dyDescent="0.25">
      <c r="B40" s="677"/>
      <c r="C40" s="678"/>
      <c r="D40" s="679"/>
      <c r="E40" s="680"/>
      <c r="F40" s="681"/>
      <c r="G40" s="672"/>
      <c r="H40" s="670"/>
      <c r="I40" s="671"/>
      <c r="J40" s="696"/>
      <c r="K40" s="672"/>
      <c r="L40" s="670"/>
      <c r="M40" s="671"/>
      <c r="N40" s="696"/>
      <c r="P40" s="683"/>
      <c r="Q40" s="684"/>
      <c r="R40" s="685"/>
    </row>
    <row r="42" spans="2:18" ht="15" customHeight="1" thickBot="1" x14ac:dyDescent="0.25"/>
    <row r="43" spans="2:18" ht="15" customHeight="1" x14ac:dyDescent="0.2">
      <c r="B43" s="1000"/>
      <c r="C43" s="1002"/>
      <c r="D43" s="1002"/>
      <c r="E43" s="1002"/>
      <c r="F43" s="1002"/>
      <c r="G43" s="1002"/>
      <c r="H43" s="1002"/>
      <c r="I43" s="1002"/>
      <c r="J43" s="1002"/>
      <c r="K43" s="1002"/>
      <c r="L43" s="1002"/>
      <c r="M43" s="1002"/>
      <c r="N43" s="1002"/>
      <c r="P43" s="1003"/>
      <c r="Q43" s="996"/>
      <c r="R43" s="998"/>
    </row>
    <row r="44" spans="2:18" ht="15" customHeight="1" x14ac:dyDescent="0.2">
      <c r="B44" s="1000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P44" s="1004"/>
      <c r="Q44" s="997"/>
      <c r="R44" s="999"/>
    </row>
    <row r="45" spans="2:18" ht="15" customHeight="1" thickBot="1" x14ac:dyDescent="0.25">
      <c r="B45" s="1001"/>
      <c r="C45" s="654"/>
      <c r="D45" s="654"/>
      <c r="E45" s="655"/>
      <c r="F45" s="654"/>
      <c r="G45" s="654"/>
      <c r="H45" s="654"/>
      <c r="I45" s="655"/>
      <c r="J45" s="654"/>
      <c r="K45" s="654"/>
      <c r="L45" s="654"/>
      <c r="M45" s="655"/>
      <c r="N45" s="654"/>
      <c r="P45" s="656"/>
      <c r="Q45" s="657"/>
      <c r="R45" s="658"/>
    </row>
    <row r="46" spans="2:18" ht="15" customHeight="1" x14ac:dyDescent="0.2">
      <c r="B46" s="659"/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/>
      <c r="C47" s="697"/>
      <c r="D47" s="698"/>
      <c r="E47" s="671"/>
      <c r="F47" s="699"/>
      <c r="G47" s="697"/>
      <c r="H47" s="698"/>
      <c r="I47" s="671"/>
      <c r="J47" s="699"/>
      <c r="K47" s="697"/>
      <c r="L47" s="698"/>
      <c r="M47" s="671"/>
      <c r="N47" s="699"/>
      <c r="P47" s="665"/>
      <c r="Q47" s="472"/>
      <c r="R47" s="666"/>
    </row>
    <row r="48" spans="2:18" ht="15" customHeight="1" x14ac:dyDescent="0.2">
      <c r="B48" s="668"/>
      <c r="C48" s="697"/>
      <c r="D48" s="698"/>
      <c r="E48" s="671"/>
      <c r="F48" s="699"/>
      <c r="G48" s="697"/>
      <c r="H48" s="698"/>
      <c r="I48" s="671"/>
      <c r="J48" s="699"/>
      <c r="K48" s="697"/>
      <c r="L48" s="698"/>
      <c r="M48" s="671"/>
      <c r="N48" s="699"/>
      <c r="P48" s="665"/>
      <c r="Q48" s="472"/>
      <c r="R48" s="666"/>
    </row>
    <row r="49" spans="2:18" ht="15" customHeight="1" x14ac:dyDescent="0.2">
      <c r="B49" s="668"/>
      <c r="C49" s="697"/>
      <c r="D49" s="698"/>
      <c r="E49" s="671"/>
      <c r="F49" s="699"/>
      <c r="G49" s="697"/>
      <c r="H49" s="698"/>
      <c r="I49" s="671"/>
      <c r="J49" s="699"/>
      <c r="K49" s="697"/>
      <c r="L49" s="698"/>
      <c r="M49" s="671"/>
      <c r="N49" s="699"/>
      <c r="P49" s="665"/>
      <c r="Q49" s="472"/>
      <c r="R49" s="666"/>
    </row>
    <row r="50" spans="2:18" ht="15" customHeight="1" x14ac:dyDescent="0.2">
      <c r="B50" s="668"/>
      <c r="C50" s="697"/>
      <c r="D50" s="698"/>
      <c r="E50" s="671"/>
      <c r="F50" s="699"/>
      <c r="G50" s="697"/>
      <c r="H50" s="698"/>
      <c r="I50" s="671"/>
      <c r="J50" s="699"/>
      <c r="K50" s="697"/>
      <c r="L50" s="698"/>
      <c r="M50" s="671"/>
      <c r="N50" s="699"/>
      <c r="P50" s="665"/>
      <c r="Q50" s="472"/>
      <c r="R50" s="666"/>
    </row>
    <row r="51" spans="2:18" ht="15" customHeight="1" x14ac:dyDescent="0.2">
      <c r="B51" s="668"/>
      <c r="C51" s="697"/>
      <c r="D51" s="698"/>
      <c r="E51" s="671"/>
      <c r="F51" s="699"/>
      <c r="G51" s="697"/>
      <c r="H51" s="698"/>
      <c r="I51" s="671"/>
      <c r="J51" s="699"/>
      <c r="K51" s="697"/>
      <c r="L51" s="698"/>
      <c r="M51" s="671"/>
      <c r="N51" s="699"/>
      <c r="P51" s="665"/>
      <c r="Q51" s="472"/>
      <c r="R51" s="666"/>
    </row>
    <row r="52" spans="2:18" ht="15" customHeight="1" x14ac:dyDescent="0.2">
      <c r="B52" s="668"/>
      <c r="C52" s="697"/>
      <c r="D52" s="698"/>
      <c r="E52" s="671"/>
      <c r="F52" s="699"/>
      <c r="G52" s="697"/>
      <c r="H52" s="698"/>
      <c r="I52" s="671"/>
      <c r="J52" s="699"/>
      <c r="K52" s="697"/>
      <c r="L52" s="698"/>
      <c r="M52" s="671"/>
      <c r="N52" s="699"/>
      <c r="P52" s="665"/>
      <c r="Q52" s="472"/>
      <c r="R52" s="666"/>
    </row>
    <row r="53" spans="2:18" ht="15" customHeight="1" x14ac:dyDescent="0.2">
      <c r="B53" s="668"/>
      <c r="C53" s="697"/>
      <c r="D53" s="698"/>
      <c r="E53" s="671"/>
      <c r="F53" s="699"/>
      <c r="G53" s="697"/>
      <c r="H53" s="698"/>
      <c r="I53" s="671"/>
      <c r="J53" s="699"/>
      <c r="K53" s="697"/>
      <c r="L53" s="698"/>
      <c r="M53" s="671"/>
      <c r="N53" s="699"/>
      <c r="P53" s="665"/>
      <c r="Q53" s="472"/>
      <c r="R53" s="666"/>
    </row>
    <row r="54" spans="2:18" ht="15" customHeight="1" x14ac:dyDescent="0.2">
      <c r="B54" s="668"/>
      <c r="C54" s="697"/>
      <c r="D54" s="698"/>
      <c r="E54" s="671"/>
      <c r="F54" s="699"/>
      <c r="G54" s="697"/>
      <c r="H54" s="698"/>
      <c r="I54" s="671"/>
      <c r="J54" s="699"/>
      <c r="K54" s="697"/>
      <c r="L54" s="698"/>
      <c r="M54" s="671"/>
      <c r="N54" s="699"/>
      <c r="P54" s="665"/>
      <c r="Q54" s="472"/>
      <c r="R54" s="666"/>
    </row>
    <row r="55" spans="2:18" ht="15" customHeight="1" x14ac:dyDescent="0.2">
      <c r="B55" s="668"/>
      <c r="C55" s="697"/>
      <c r="D55" s="698"/>
      <c r="E55" s="671"/>
      <c r="F55" s="699"/>
      <c r="G55" s="697"/>
      <c r="H55" s="698"/>
      <c r="I55" s="671"/>
      <c r="J55" s="699"/>
      <c r="K55" s="697"/>
      <c r="L55" s="698"/>
      <c r="M55" s="671"/>
      <c r="N55" s="699"/>
      <c r="P55" s="665"/>
      <c r="Q55" s="472"/>
      <c r="R55" s="666"/>
    </row>
    <row r="56" spans="2:18" ht="15" customHeight="1" x14ac:dyDescent="0.2">
      <c r="B56" s="668"/>
      <c r="C56" s="697"/>
      <c r="D56" s="698"/>
      <c r="E56" s="671"/>
      <c r="F56" s="699"/>
      <c r="G56" s="697"/>
      <c r="H56" s="698"/>
      <c r="I56" s="671"/>
      <c r="J56" s="699"/>
      <c r="K56" s="697"/>
      <c r="L56" s="698"/>
      <c r="M56" s="671"/>
      <c r="N56" s="699"/>
      <c r="P56" s="665"/>
      <c r="Q56" s="472"/>
      <c r="R56" s="666"/>
    </row>
    <row r="57" spans="2:18" ht="15" customHeight="1" x14ac:dyDescent="0.2">
      <c r="B57" s="668"/>
      <c r="C57" s="697"/>
      <c r="D57" s="698"/>
      <c r="E57" s="671"/>
      <c r="F57" s="699"/>
      <c r="G57" s="697"/>
      <c r="H57" s="698"/>
      <c r="I57" s="671"/>
      <c r="J57" s="699"/>
      <c r="K57" s="697"/>
      <c r="L57" s="698"/>
      <c r="M57" s="671"/>
      <c r="N57" s="699"/>
      <c r="P57" s="665"/>
      <c r="Q57" s="472"/>
      <c r="R57" s="666"/>
    </row>
    <row r="58" spans="2:18" ht="15" customHeight="1" x14ac:dyDescent="0.2">
      <c r="B58" s="668"/>
      <c r="C58" s="697"/>
      <c r="D58" s="698"/>
      <c r="E58" s="671"/>
      <c r="F58" s="699"/>
      <c r="G58" s="697"/>
      <c r="H58" s="698"/>
      <c r="I58" s="671"/>
      <c r="J58" s="699"/>
      <c r="K58" s="697"/>
      <c r="L58" s="698"/>
      <c r="M58" s="671"/>
      <c r="N58" s="699"/>
      <c r="P58" s="665"/>
      <c r="Q58" s="472"/>
      <c r="R58" s="666"/>
    </row>
    <row r="59" spans="2:18" ht="15" customHeight="1" x14ac:dyDescent="0.2">
      <c r="B59" s="668"/>
      <c r="C59" s="697"/>
      <c r="D59" s="698"/>
      <c r="E59" s="671"/>
      <c r="F59" s="699"/>
      <c r="G59" s="697"/>
      <c r="H59" s="698"/>
      <c r="I59" s="671"/>
      <c r="J59" s="699"/>
      <c r="K59" s="697"/>
      <c r="L59" s="698"/>
      <c r="M59" s="671"/>
      <c r="N59" s="699"/>
      <c r="P59" s="665"/>
      <c r="Q59" s="472"/>
      <c r="R59" s="666"/>
    </row>
    <row r="60" spans="2:18" ht="15" customHeight="1" thickBot="1" x14ac:dyDescent="0.25">
      <c r="B60" s="677"/>
      <c r="C60" s="700"/>
      <c r="D60" s="701"/>
      <c r="E60" s="680"/>
      <c r="F60" s="702"/>
      <c r="G60" s="700"/>
      <c r="H60" s="701"/>
      <c r="I60" s="680"/>
      <c r="J60" s="702"/>
      <c r="K60" s="700"/>
      <c r="L60" s="701"/>
      <c r="M60" s="680"/>
      <c r="N60" s="702"/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/>
      <c r="C63" s="1002"/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/>
      <c r="Q63" s="996"/>
      <c r="R63" s="998"/>
    </row>
    <row r="64" spans="2:18" ht="15" customHeight="1" x14ac:dyDescent="0.2">
      <c r="B64" s="1000"/>
      <c r="C64" s="653"/>
      <c r="D64" s="653"/>
      <c r="E64" s="653"/>
      <c r="F64" s="692"/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/>
      <c r="D65" s="654"/>
      <c r="E65" s="655"/>
      <c r="F65" s="694"/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/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/>
      <c r="C67" s="697"/>
      <c r="D67" s="698"/>
      <c r="E67" s="671"/>
      <c r="F67" s="699"/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/>
      <c r="C68" s="697"/>
      <c r="D68" s="698"/>
      <c r="E68" s="671"/>
      <c r="F68" s="699"/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/>
      <c r="C69" s="697"/>
      <c r="D69" s="698"/>
      <c r="E69" s="671"/>
      <c r="F69" s="699"/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/>
      <c r="C70" s="697"/>
      <c r="D70" s="698"/>
      <c r="E70" s="671"/>
      <c r="F70" s="699"/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/>
      <c r="C71" s="697"/>
      <c r="D71" s="698"/>
      <c r="E71" s="671"/>
      <c r="F71" s="699"/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/>
      <c r="C72" s="697"/>
      <c r="D72" s="698"/>
      <c r="E72" s="671"/>
      <c r="F72" s="699"/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/>
      <c r="C73" s="697"/>
      <c r="D73" s="698"/>
      <c r="E73" s="671"/>
      <c r="F73" s="699"/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/>
      <c r="C74" s="697"/>
      <c r="D74" s="698"/>
      <c r="E74" s="671"/>
      <c r="F74" s="699"/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/>
      <c r="C75" s="697"/>
      <c r="D75" s="698"/>
      <c r="E75" s="671"/>
      <c r="F75" s="699"/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/>
      <c r="C76" s="697"/>
      <c r="D76" s="698"/>
      <c r="E76" s="671"/>
      <c r="F76" s="699"/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/>
      <c r="C77" s="697"/>
      <c r="D77" s="698"/>
      <c r="E77" s="671"/>
      <c r="F77" s="699"/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/>
      <c r="C78" s="697"/>
      <c r="D78" s="698"/>
      <c r="E78" s="671"/>
      <c r="F78" s="699"/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/>
      <c r="C79" s="697"/>
      <c r="D79" s="698"/>
      <c r="E79" s="671"/>
      <c r="F79" s="699"/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/>
      <c r="C80" s="700"/>
      <c r="D80" s="701"/>
      <c r="E80" s="680"/>
      <c r="F80" s="702"/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59999389629810485"/>
  </sheetPr>
  <dimension ref="B3:D23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37</v>
      </c>
      <c r="C3" t="s">
        <v>32</v>
      </c>
    </row>
    <row r="5" spans="2:4" ht="15" customHeight="1" x14ac:dyDescent="0.2">
      <c r="B5" s="1035" t="s">
        <v>16</v>
      </c>
      <c r="C5" s="1037" t="s">
        <v>17</v>
      </c>
      <c r="D5" s="1039" t="s">
        <v>18</v>
      </c>
    </row>
    <row r="6" spans="2:4" ht="15" customHeight="1" x14ac:dyDescent="0.2">
      <c r="B6" s="1036"/>
      <c r="C6" s="1038"/>
      <c r="D6" s="1040"/>
    </row>
    <row r="7" spans="2:4" ht="15" customHeight="1" x14ac:dyDescent="0.2">
      <c r="B7" s="490" t="str">
        <f>Index!$B$4</f>
        <v>England</v>
      </c>
      <c r="C7" s="487"/>
      <c r="D7" s="487"/>
    </row>
    <row r="8" spans="2:4" ht="15" customHeight="1" x14ac:dyDescent="0.2">
      <c r="B8" s="109" t="s">
        <v>19</v>
      </c>
      <c r="C8" s="477">
        <v>786995.26634359232</v>
      </c>
      <c r="D8" s="483">
        <v>0.6064700133575136</v>
      </c>
    </row>
    <row r="9" spans="2:4" ht="15" customHeight="1" x14ac:dyDescent="0.2">
      <c r="B9" s="109" t="s">
        <v>20</v>
      </c>
      <c r="C9" s="477">
        <v>316174.70609343774</v>
      </c>
      <c r="D9" s="483">
        <v>0.2436488330084558</v>
      </c>
    </row>
    <row r="10" spans="2:4" ht="15" customHeight="1" x14ac:dyDescent="0.2">
      <c r="B10" s="109" t="s">
        <v>21</v>
      </c>
      <c r="C10" s="477">
        <v>20256.773381101819</v>
      </c>
      <c r="D10" s="483">
        <v>1.5610164569469485E-2</v>
      </c>
    </row>
    <row r="11" spans="2:4" ht="15" customHeight="1" x14ac:dyDescent="0.2">
      <c r="B11" s="109" t="s">
        <v>22</v>
      </c>
      <c r="C11" s="477">
        <v>9433.6512678435429</v>
      </c>
      <c r="D11" s="483">
        <v>7.2697090504752569E-3</v>
      </c>
    </row>
    <row r="12" spans="2:4" ht="15" customHeight="1" x14ac:dyDescent="0.2">
      <c r="B12" s="109" t="s">
        <v>23</v>
      </c>
      <c r="C12" s="477">
        <v>22127.928688591506</v>
      </c>
      <c r="D12" s="483">
        <v>1.7052104099296101E-2</v>
      </c>
    </row>
    <row r="13" spans="2:4" ht="15" customHeight="1" x14ac:dyDescent="0.2">
      <c r="B13" s="109" t="s">
        <v>24</v>
      </c>
      <c r="C13" s="477">
        <v>28273.38107718858</v>
      </c>
      <c r="D13" s="483">
        <v>2.1787879206961434E-2</v>
      </c>
    </row>
    <row r="14" spans="2:4" ht="15" customHeight="1" x14ac:dyDescent="0.2">
      <c r="B14" s="109" t="s">
        <v>25</v>
      </c>
      <c r="C14" s="477">
        <v>75302.788354436096</v>
      </c>
      <c r="D14" s="483">
        <v>5.8029425350106759E-2</v>
      </c>
    </row>
    <row r="15" spans="2:4" ht="15" customHeight="1" x14ac:dyDescent="0.2">
      <c r="B15" s="109" t="s">
        <v>26</v>
      </c>
      <c r="C15" s="477">
        <v>2289.7086795212203</v>
      </c>
      <c r="D15" s="483">
        <v>1.7644828537606305E-3</v>
      </c>
    </row>
    <row r="16" spans="2:4" ht="15" customHeight="1" x14ac:dyDescent="0.2">
      <c r="B16" s="109" t="s">
        <v>27</v>
      </c>
      <c r="C16" s="477">
        <v>122.79757252259499</v>
      </c>
      <c r="D16" s="483">
        <v>9.4629597702731823E-5</v>
      </c>
    </row>
    <row r="17" spans="2:4" ht="15" customHeight="1" x14ac:dyDescent="0.2">
      <c r="B17" s="109" t="s">
        <v>28</v>
      </c>
      <c r="C17" s="477">
        <v>4783.1398685045406</v>
      </c>
      <c r="D17" s="483">
        <v>3.6859572401498255E-3</v>
      </c>
    </row>
    <row r="18" spans="2:4" ht="15" customHeight="1" x14ac:dyDescent="0.2">
      <c r="B18" s="109" t="s">
        <v>4</v>
      </c>
      <c r="C18" s="477">
        <v>27792.398034285721</v>
      </c>
      <c r="D18" s="483">
        <v>2.1417226669482661E-2</v>
      </c>
    </row>
    <row r="19" spans="2:4" ht="15" customHeight="1" x14ac:dyDescent="0.2">
      <c r="B19" s="109" t="s">
        <v>5</v>
      </c>
      <c r="C19" s="477">
        <v>4099.5551026040639</v>
      </c>
      <c r="D19" s="483">
        <v>3.1591768644141766E-3</v>
      </c>
    </row>
    <row r="20" spans="2:4" ht="15" customHeight="1" x14ac:dyDescent="0.2">
      <c r="B20" s="109" t="s">
        <v>686</v>
      </c>
      <c r="C20" s="477">
        <v>0</v>
      </c>
      <c r="D20" s="483">
        <v>0</v>
      </c>
    </row>
    <row r="21" spans="2:4" ht="15" customHeight="1" x14ac:dyDescent="0.2">
      <c r="B21" s="109" t="s">
        <v>687</v>
      </c>
      <c r="C21" s="477">
        <v>0</v>
      </c>
      <c r="D21" s="483">
        <v>0</v>
      </c>
    </row>
    <row r="22" spans="2:4" ht="15" customHeight="1" x14ac:dyDescent="0.2">
      <c r="B22" s="109" t="s">
        <v>29</v>
      </c>
      <c r="C22" s="477">
        <v>13.4932983475</v>
      </c>
      <c r="D22" s="483">
        <v>1.0398132211220344E-5</v>
      </c>
    </row>
    <row r="23" spans="2:4" ht="15" customHeight="1" x14ac:dyDescent="0.2">
      <c r="B23" s="107" t="s">
        <v>30</v>
      </c>
      <c r="C23" s="87">
        <v>1297665.5877619777</v>
      </c>
      <c r="D23" s="484">
        <v>0.99999999999999989</v>
      </c>
    </row>
  </sheetData>
  <mergeCells count="3">
    <mergeCell ref="B5:B6"/>
    <mergeCell ref="C5:C6"/>
    <mergeCell ref="D5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E6AAFEE8-4F98-40D2-884F-28AF4012553A}">
            <xm:f>Sheet1!$D$4</xm:f>
            <xm:f>Sheet1!$E$4</xm:f>
            <x14:dxf>
              <numFmt numFmtId="173" formatCode="&quot;&lt; 1&quot;"/>
            </x14:dxf>
          </x14:cfRule>
          <xm:sqref>C8:C23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59999389629810485"/>
  </sheetPr>
  <dimension ref="B3:E23"/>
  <sheetViews>
    <sheetView workbookViewId="0"/>
  </sheetViews>
  <sheetFormatPr defaultRowHeight="15" customHeight="1" x14ac:dyDescent="0.2"/>
  <cols>
    <col min="2" max="2" width="30.625" customWidth="1"/>
    <col min="3" max="5" width="12.625" customWidth="1"/>
  </cols>
  <sheetData>
    <row r="3" spans="2:5" ht="15" customHeight="1" x14ac:dyDescent="0.2">
      <c r="B3" t="s">
        <v>39</v>
      </c>
      <c r="C3" t="s">
        <v>38</v>
      </c>
    </row>
    <row r="5" spans="2:5" ht="15" customHeight="1" x14ac:dyDescent="0.2">
      <c r="B5" s="1035" t="s">
        <v>16</v>
      </c>
      <c r="C5" s="1041" t="s">
        <v>34</v>
      </c>
      <c r="D5" s="1041"/>
      <c r="E5" s="1042" t="s">
        <v>17</v>
      </c>
    </row>
    <row r="6" spans="2:5" ht="15" customHeight="1" x14ac:dyDescent="0.2">
      <c r="B6" s="1036"/>
      <c r="C6" s="491" t="s">
        <v>35</v>
      </c>
      <c r="D6" s="491" t="s">
        <v>349</v>
      </c>
      <c r="E6" s="1043"/>
    </row>
    <row r="7" spans="2:5" ht="15" customHeight="1" x14ac:dyDescent="0.2">
      <c r="B7" s="487" t="str">
        <f>Index!$B$4</f>
        <v>England</v>
      </c>
      <c r="C7" s="487"/>
      <c r="D7" s="487"/>
      <c r="E7" s="487"/>
    </row>
    <row r="8" spans="2:5" ht="15" customHeight="1" x14ac:dyDescent="0.2">
      <c r="B8" s="109" t="s">
        <v>19</v>
      </c>
      <c r="C8" s="477">
        <v>678091.2545993207</v>
      </c>
      <c r="D8" s="477">
        <v>108904.01171939222</v>
      </c>
      <c r="E8" s="493">
        <v>786995.26631871297</v>
      </c>
    </row>
    <row r="9" spans="2:5" ht="15" customHeight="1" x14ac:dyDescent="0.2">
      <c r="B9" s="109" t="s">
        <v>20</v>
      </c>
      <c r="C9" s="477">
        <v>304764.98828852654</v>
      </c>
      <c r="D9" s="477">
        <v>11409.717800058846</v>
      </c>
      <c r="E9" s="493">
        <v>316174.70608858537</v>
      </c>
    </row>
    <row r="10" spans="2:5" ht="15" customHeight="1" x14ac:dyDescent="0.2">
      <c r="B10" s="109" t="s">
        <v>21</v>
      </c>
      <c r="C10" s="477">
        <v>20045.650014015584</v>
      </c>
      <c r="D10" s="477">
        <v>228.62453313081534</v>
      </c>
      <c r="E10" s="493">
        <v>20274.2745471464</v>
      </c>
    </row>
    <row r="11" spans="2:5" ht="15" customHeight="1" x14ac:dyDescent="0.2">
      <c r="B11" s="109" t="s">
        <v>22</v>
      </c>
      <c r="C11" s="477">
        <v>8912.0125890118979</v>
      </c>
      <c r="D11" s="477">
        <v>542.2380298170616</v>
      </c>
      <c r="E11" s="493">
        <v>9454.250618828959</v>
      </c>
    </row>
    <row r="12" spans="2:5" ht="15" customHeight="1" x14ac:dyDescent="0.2">
      <c r="B12" s="494" t="s">
        <v>23</v>
      </c>
      <c r="C12" s="201">
        <v>17452.571915841563</v>
      </c>
      <c r="D12" s="201">
        <v>4661.4588786505283</v>
      </c>
      <c r="E12" s="495">
        <v>22114.030794492093</v>
      </c>
    </row>
    <row r="13" spans="2:5" ht="15" customHeight="1" x14ac:dyDescent="0.2">
      <c r="B13" s="109" t="s">
        <v>24</v>
      </c>
      <c r="C13" s="477">
        <v>23794.394649762737</v>
      </c>
      <c r="D13" s="477">
        <v>4517.8982231383961</v>
      </c>
      <c r="E13" s="493">
        <v>28312.292872901133</v>
      </c>
    </row>
    <row r="14" spans="2:5" ht="15" customHeight="1" x14ac:dyDescent="0.2">
      <c r="B14" s="109" t="s">
        <v>25</v>
      </c>
      <c r="C14" s="477">
        <v>65715.671951372715</v>
      </c>
      <c r="D14" s="477">
        <v>9382.9948371066166</v>
      </c>
      <c r="E14" s="493">
        <v>75098.666788479328</v>
      </c>
    </row>
    <row r="15" spans="2:5" ht="15" customHeight="1" x14ac:dyDescent="0.2">
      <c r="B15" s="109" t="s">
        <v>26</v>
      </c>
      <c r="C15" s="477">
        <v>2307.85571721407</v>
      </c>
      <c r="D15" s="477">
        <v>116.06132781497206</v>
      </c>
      <c r="E15" s="493">
        <v>2423.9170450290421</v>
      </c>
    </row>
    <row r="16" spans="2:5" ht="15" customHeight="1" x14ac:dyDescent="0.2">
      <c r="B16" s="494" t="s">
        <v>27</v>
      </c>
      <c r="C16" s="201">
        <v>118.563878316445</v>
      </c>
      <c r="D16" s="201">
        <v>4.4030956979499969</v>
      </c>
      <c r="E16" s="495">
        <v>122.96697401439499</v>
      </c>
    </row>
    <row r="17" spans="2:5" ht="15" customHeight="1" x14ac:dyDescent="0.2">
      <c r="B17" s="109" t="s">
        <v>28</v>
      </c>
      <c r="C17" s="477">
        <v>3393.136785992685</v>
      </c>
      <c r="D17" s="477">
        <v>1393.2095789051107</v>
      </c>
      <c r="E17" s="493">
        <v>4786.3463648977959</v>
      </c>
    </row>
    <row r="18" spans="2:5" ht="15" customHeight="1" x14ac:dyDescent="0.2">
      <c r="B18" s="109" t="s">
        <v>4</v>
      </c>
      <c r="C18" s="477">
        <v>25071.133167771295</v>
      </c>
      <c r="D18" s="477">
        <v>2719.5704145873869</v>
      </c>
      <c r="E18" s="493">
        <v>27790.703582358681</v>
      </c>
    </row>
    <row r="19" spans="2:5" ht="15" customHeight="1" x14ac:dyDescent="0.2">
      <c r="B19" s="109" t="s">
        <v>5</v>
      </c>
      <c r="C19" s="477">
        <v>3779.7284671462803</v>
      </c>
      <c r="D19" s="477">
        <v>324.9439730161007</v>
      </c>
      <c r="E19" s="493">
        <v>4104.6724401623815</v>
      </c>
    </row>
    <row r="20" spans="2:5" ht="15" customHeight="1" x14ac:dyDescent="0.2">
      <c r="B20" s="109" t="s">
        <v>686</v>
      </c>
      <c r="C20" s="477">
        <v>0</v>
      </c>
      <c r="D20" s="477">
        <v>0</v>
      </c>
      <c r="E20" s="493">
        <v>0</v>
      </c>
    </row>
    <row r="21" spans="2:5" ht="15" customHeight="1" x14ac:dyDescent="0.2">
      <c r="B21" s="109" t="s">
        <v>687</v>
      </c>
      <c r="C21" s="477">
        <v>0</v>
      </c>
      <c r="D21" s="477">
        <v>0</v>
      </c>
      <c r="E21" s="493">
        <v>0</v>
      </c>
    </row>
    <row r="22" spans="2:5" ht="15" customHeight="1" x14ac:dyDescent="0.2">
      <c r="B22" s="109" t="s">
        <v>29</v>
      </c>
      <c r="C22" s="201">
        <v>13.4932983475</v>
      </c>
      <c r="D22" s="201">
        <v>0</v>
      </c>
      <c r="E22" s="495">
        <v>13.4932983475</v>
      </c>
    </row>
    <row r="23" spans="2:5" ht="15" customHeight="1" x14ac:dyDescent="0.2">
      <c r="B23" s="496" t="s">
        <v>30</v>
      </c>
      <c r="C23" s="497">
        <v>1153460.45532264</v>
      </c>
      <c r="D23" s="497">
        <v>144205.13241131604</v>
      </c>
      <c r="E23" s="498">
        <v>1297665.5877339563</v>
      </c>
    </row>
  </sheetData>
  <mergeCells count="3">
    <mergeCell ref="B5:B6"/>
    <mergeCell ref="C5:D5"/>
    <mergeCell ref="E5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CAD53AC-0D9C-4290-AFFF-14A8CDCE0FA3}">
            <xm:f>Sheet1!$D$4</xm:f>
            <xm:f>Sheet1!$E$4</xm:f>
            <x14:dxf>
              <numFmt numFmtId="173" formatCode="&quot;&lt; 1&quot;"/>
            </x14:dxf>
          </x14:cfRule>
          <xm:sqref>C8:E23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59999389629810485"/>
  </sheetPr>
  <dimension ref="B3:F23"/>
  <sheetViews>
    <sheetView workbookViewId="0">
      <selection activeCell="F23" sqref="B5:F23"/>
    </sheetView>
  </sheetViews>
  <sheetFormatPr defaultRowHeight="15" customHeight="1" x14ac:dyDescent="0.2"/>
  <cols>
    <col min="2" max="2" width="30.625" customWidth="1"/>
    <col min="3" max="6" width="12.625" customWidth="1"/>
  </cols>
  <sheetData>
    <row r="3" spans="2:6" ht="15" customHeight="1" x14ac:dyDescent="0.2">
      <c r="B3" t="s">
        <v>41</v>
      </c>
      <c r="C3" t="s">
        <v>40</v>
      </c>
    </row>
    <row r="5" spans="2:6" ht="15" customHeight="1" x14ac:dyDescent="0.2">
      <c r="B5" s="1044" t="s">
        <v>16</v>
      </c>
      <c r="C5" s="1046" t="s">
        <v>11</v>
      </c>
      <c r="D5" s="1047"/>
      <c r="E5" s="1046" t="s">
        <v>12</v>
      </c>
      <c r="F5" s="1048"/>
    </row>
    <row r="6" spans="2:6" ht="30" customHeight="1" x14ac:dyDescent="0.2">
      <c r="B6" s="1045"/>
      <c r="C6" s="489" t="s">
        <v>1</v>
      </c>
      <c r="D6" s="489" t="s">
        <v>44</v>
      </c>
      <c r="E6" s="951" t="s">
        <v>1</v>
      </c>
      <c r="F6" s="950" t="s">
        <v>44</v>
      </c>
    </row>
    <row r="7" spans="2:6" ht="15" customHeight="1" x14ac:dyDescent="0.2">
      <c r="B7" s="499" t="str">
        <f>Index!$B$4</f>
        <v>England</v>
      </c>
      <c r="C7" s="499"/>
      <c r="D7" s="499"/>
      <c r="E7" s="499"/>
      <c r="F7" s="499"/>
    </row>
    <row r="8" spans="2:6" ht="15" customHeight="1" x14ac:dyDescent="0.2">
      <c r="B8" s="488" t="s">
        <v>19</v>
      </c>
      <c r="C8" s="477">
        <v>43792.597471614601</v>
      </c>
      <c r="D8" s="478">
        <v>0.2042374842271211</v>
      </c>
      <c r="E8" s="477">
        <v>743202.63367146603</v>
      </c>
      <c r="F8" s="483">
        <v>0.68608880214626733</v>
      </c>
    </row>
    <row r="9" spans="2:6" ht="15" customHeight="1" x14ac:dyDescent="0.2">
      <c r="B9" s="488" t="s">
        <v>20</v>
      </c>
      <c r="C9" s="477">
        <v>126880.2700332864</v>
      </c>
      <c r="D9" s="478">
        <v>0.59173715755163625</v>
      </c>
      <c r="E9" s="477">
        <v>189294.36625953682</v>
      </c>
      <c r="F9" s="483">
        <v>0.17474742299884374</v>
      </c>
    </row>
    <row r="10" spans="2:6" ht="15" customHeight="1" x14ac:dyDescent="0.2">
      <c r="B10" s="488" t="s">
        <v>21</v>
      </c>
      <c r="C10" s="477">
        <v>11074.981260986973</v>
      </c>
      <c r="D10" s="478">
        <v>5.1650882596599106E-2</v>
      </c>
      <c r="E10" s="477">
        <v>9181.7921241813256</v>
      </c>
      <c r="F10" s="483">
        <v>8.4761873473396636E-3</v>
      </c>
    </row>
    <row r="11" spans="2:6" ht="15" customHeight="1" x14ac:dyDescent="0.2">
      <c r="B11" s="488" t="s">
        <v>22</v>
      </c>
      <c r="C11" s="477">
        <v>3827.8855608136787</v>
      </c>
      <c r="D11" s="478">
        <v>1.7852280110962872E-2</v>
      </c>
      <c r="E11" s="477">
        <v>5572.2680160499094</v>
      </c>
      <c r="F11" s="483">
        <v>5.1440488975172732E-3</v>
      </c>
    </row>
    <row r="12" spans="2:6" ht="15" customHeight="1" x14ac:dyDescent="0.2">
      <c r="B12" s="492" t="s">
        <v>23</v>
      </c>
      <c r="C12" s="201">
        <v>2206.0359298092799</v>
      </c>
      <c r="D12" s="500">
        <v>1.0288387865344717E-2</v>
      </c>
      <c r="E12" s="201">
        <v>19958.789771588901</v>
      </c>
      <c r="F12" s="954">
        <v>1.8424991444166285E-2</v>
      </c>
    </row>
    <row r="13" spans="2:6" ht="15" customHeight="1" x14ac:dyDescent="0.2">
      <c r="B13" s="488" t="s">
        <v>24</v>
      </c>
      <c r="C13" s="477">
        <v>2770.343592930632</v>
      </c>
      <c r="D13" s="478">
        <v>1.2920174607857418E-2</v>
      </c>
      <c r="E13" s="477">
        <v>25512.205390203781</v>
      </c>
      <c r="F13" s="483">
        <v>2.3551636718246564E-2</v>
      </c>
    </row>
    <row r="14" spans="2:6" ht="15" customHeight="1" x14ac:dyDescent="0.2">
      <c r="B14" s="488" t="s">
        <v>25</v>
      </c>
      <c r="C14" s="477">
        <v>21902.016843576774</v>
      </c>
      <c r="D14" s="478">
        <v>0.10214540990704171</v>
      </c>
      <c r="E14" s="477">
        <v>53323.22470173004</v>
      </c>
      <c r="F14" s="483">
        <v>4.9225427500783625E-2</v>
      </c>
    </row>
    <row r="15" spans="2:6" ht="15" customHeight="1" x14ac:dyDescent="0.2">
      <c r="B15" s="488" t="s">
        <v>26</v>
      </c>
      <c r="C15" s="477">
        <v>159.70865044055941</v>
      </c>
      <c r="D15" s="478">
        <v>7.448403350915903E-4</v>
      </c>
      <c r="E15" s="477">
        <v>2174.7720521985307</v>
      </c>
      <c r="F15" s="483">
        <v>2.0076445973597674E-3</v>
      </c>
    </row>
    <row r="16" spans="2:6" ht="15" customHeight="1" x14ac:dyDescent="0.2">
      <c r="B16" s="492" t="s">
        <v>27</v>
      </c>
      <c r="C16" s="201">
        <v>5.4658092731199996</v>
      </c>
      <c r="D16" s="500">
        <v>2.549113776434189E-5</v>
      </c>
      <c r="E16" s="201">
        <v>153.83582332532501</v>
      </c>
      <c r="F16" s="954">
        <v>1.4201380750100164E-4</v>
      </c>
    </row>
    <row r="17" spans="2:6" ht="15" customHeight="1" x14ac:dyDescent="0.2">
      <c r="B17" s="488" t="s">
        <v>28</v>
      </c>
      <c r="C17" s="477">
        <v>119.14048196458486</v>
      </c>
      <c r="D17" s="478">
        <v>5.5564076375751842E-4</v>
      </c>
      <c r="E17" s="477">
        <v>4780.8480001917114</v>
      </c>
      <c r="F17" s="483">
        <v>4.4134481352563065E-3</v>
      </c>
    </row>
    <row r="18" spans="2:6" ht="15" customHeight="1" x14ac:dyDescent="0.2">
      <c r="B18" s="488" t="s">
        <v>297</v>
      </c>
      <c r="C18" s="477">
        <v>1086.051515201463</v>
      </c>
      <c r="D18" s="478">
        <v>5.0650667467161247E-3</v>
      </c>
      <c r="E18" s="477">
        <v>26478.241961867301</v>
      </c>
      <c r="F18" s="483">
        <v>2.4443435057291605E-2</v>
      </c>
    </row>
    <row r="19" spans="2:6" ht="15" customHeight="1" x14ac:dyDescent="0.2">
      <c r="B19" s="488" t="s">
        <v>43</v>
      </c>
      <c r="C19" s="477">
        <v>595.48377248391398</v>
      </c>
      <c r="D19" s="478">
        <v>2.777184150107137E-3</v>
      </c>
      <c r="E19" s="477">
        <v>3598.5862828164245</v>
      </c>
      <c r="F19" s="483">
        <v>3.3220411773848906E-3</v>
      </c>
    </row>
    <row r="20" spans="2:6" ht="15" customHeight="1" x14ac:dyDescent="0.2">
      <c r="B20" s="488" t="s">
        <v>686</v>
      </c>
      <c r="C20" s="477">
        <v>0</v>
      </c>
      <c r="D20" s="478">
        <v>0</v>
      </c>
      <c r="E20" s="477">
        <v>0.48075545800000002</v>
      </c>
      <c r="F20" s="483">
        <v>4.4381023607931236E-7</v>
      </c>
    </row>
    <row r="21" spans="2:6" ht="15" customHeight="1" x14ac:dyDescent="0.2">
      <c r="B21" s="488" t="s">
        <v>687</v>
      </c>
      <c r="C21" s="477">
        <v>0</v>
      </c>
      <c r="D21" s="478">
        <v>0</v>
      </c>
      <c r="E21" s="477">
        <v>0</v>
      </c>
      <c r="F21" s="483">
        <v>0</v>
      </c>
    </row>
    <row r="22" spans="2:6" ht="15" customHeight="1" x14ac:dyDescent="0.2">
      <c r="B22" s="492" t="s">
        <v>29</v>
      </c>
      <c r="C22" s="201">
        <v>0</v>
      </c>
      <c r="D22" s="500">
        <v>0</v>
      </c>
      <c r="E22" s="201">
        <v>13.4932983475</v>
      </c>
      <c r="F22" s="954">
        <v>1.2456361806073495E-5</v>
      </c>
    </row>
    <row r="23" spans="2:6" ht="15" customHeight="1" x14ac:dyDescent="0.2">
      <c r="B23" s="72" t="s">
        <v>30</v>
      </c>
      <c r="C23" s="87">
        <v>214419.980922382</v>
      </c>
      <c r="D23" s="479">
        <v>0.99999999999999978</v>
      </c>
      <c r="E23" s="87">
        <v>1083245.5381089617</v>
      </c>
      <c r="F23" s="484">
        <v>1.0000000000000004</v>
      </c>
    </row>
  </sheetData>
  <mergeCells count="3">
    <mergeCell ref="B5:B6"/>
    <mergeCell ref="C5:D5"/>
    <mergeCell ref="E5:F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F798A677-C952-4230-8054-C8DB0C5EDDAD}">
            <xm:f>Sheet1!$D$4</xm:f>
            <xm:f>Sheet1!$E$4</xm:f>
            <x14:dxf>
              <numFmt numFmtId="173" formatCode="&quot;&lt; 1&quot;"/>
            </x14:dxf>
          </x14:cfRule>
          <xm:sqref>C8:C23 E8:E23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59999389629810485"/>
  </sheetPr>
  <dimension ref="B3:G23"/>
  <sheetViews>
    <sheetView workbookViewId="0"/>
  </sheetViews>
  <sheetFormatPr defaultRowHeight="15" customHeight="1" x14ac:dyDescent="0.2"/>
  <cols>
    <col min="2" max="2" width="30.625" customWidth="1"/>
    <col min="3" max="7" width="12.625" customWidth="1"/>
  </cols>
  <sheetData>
    <row r="3" spans="2:7" ht="15" customHeight="1" x14ac:dyDescent="0.2">
      <c r="B3" t="s">
        <v>52</v>
      </c>
      <c r="C3" t="s">
        <v>688</v>
      </c>
    </row>
    <row r="5" spans="2:7" ht="15" customHeight="1" x14ac:dyDescent="0.2">
      <c r="B5" s="1049" t="s">
        <v>16</v>
      </c>
      <c r="C5" s="1041" t="s">
        <v>35</v>
      </c>
      <c r="D5" s="1041"/>
      <c r="E5" s="1041" t="s">
        <v>349</v>
      </c>
      <c r="F5" s="1041"/>
      <c r="G5" s="1042" t="s">
        <v>17</v>
      </c>
    </row>
    <row r="6" spans="2:7" ht="30" customHeight="1" x14ac:dyDescent="0.2">
      <c r="B6" s="1050"/>
      <c r="C6" s="489" t="s">
        <v>11</v>
      </c>
      <c r="D6" s="489" t="s">
        <v>42</v>
      </c>
      <c r="E6" s="489" t="s">
        <v>11</v>
      </c>
      <c r="F6" s="489" t="s">
        <v>42</v>
      </c>
      <c r="G6" s="1043"/>
    </row>
    <row r="7" spans="2:7" ht="15" customHeight="1" x14ac:dyDescent="0.2">
      <c r="B7" s="487" t="str">
        <f>Index!$B$4</f>
        <v>England</v>
      </c>
      <c r="C7" s="487"/>
      <c r="D7" s="487"/>
      <c r="E7" s="487"/>
      <c r="F7" s="487"/>
      <c r="G7" s="487"/>
    </row>
    <row r="8" spans="2:7" ht="15" customHeight="1" x14ac:dyDescent="0.2">
      <c r="B8" s="109" t="s">
        <v>19</v>
      </c>
      <c r="C8" s="477">
        <v>43570.241957915161</v>
      </c>
      <c r="D8" s="477">
        <v>634557.83498477913</v>
      </c>
      <c r="E8" s="477">
        <v>222.65171677290942</v>
      </c>
      <c r="F8" s="477">
        <v>108644.53759105425</v>
      </c>
      <c r="G8" s="493">
        <v>786995.26625052141</v>
      </c>
    </row>
    <row r="9" spans="2:7" ht="15" customHeight="1" x14ac:dyDescent="0.2">
      <c r="B9" s="109" t="s">
        <v>20</v>
      </c>
      <c r="C9" s="477">
        <v>126827.78135615411</v>
      </c>
      <c r="D9" s="477">
        <v>177943.3208264795</v>
      </c>
      <c r="E9" s="477">
        <v>52.570290380452846</v>
      </c>
      <c r="F9" s="477">
        <v>11351.03357619597</v>
      </c>
      <c r="G9" s="493">
        <v>316174.70604920998</v>
      </c>
    </row>
    <row r="10" spans="2:7" ht="15" customHeight="1" x14ac:dyDescent="0.2">
      <c r="B10" s="109" t="s">
        <v>21</v>
      </c>
      <c r="C10" s="477">
        <v>11070.601407477932</v>
      </c>
      <c r="D10" s="477">
        <v>8975.5598545529301</v>
      </c>
      <c r="E10" s="477">
        <v>4.3798419989150004</v>
      </c>
      <c r="F10" s="477">
        <v>206.23227181316861</v>
      </c>
      <c r="G10" s="493">
        <v>20256.773375842946</v>
      </c>
    </row>
    <row r="11" spans="2:7" ht="15" customHeight="1" x14ac:dyDescent="0.2">
      <c r="B11" s="109" t="s">
        <v>22</v>
      </c>
      <c r="C11" s="477">
        <v>3837.8302186293208</v>
      </c>
      <c r="D11" s="477">
        <v>5073.3964679796372</v>
      </c>
      <c r="E11" s="477">
        <v>12.581838607350001</v>
      </c>
      <c r="F11" s="477">
        <v>509.84274454090314</v>
      </c>
      <c r="G11" s="493">
        <v>9433.6512697572107</v>
      </c>
    </row>
    <row r="12" spans="2:7" ht="15" customHeight="1" x14ac:dyDescent="0.2">
      <c r="B12" s="109" t="s">
        <v>23</v>
      </c>
      <c r="C12" s="477">
        <v>2177.022083312313</v>
      </c>
      <c r="D12" s="477">
        <v>15276.684917505625</v>
      </c>
      <c r="E12" s="477">
        <v>6.4397569045378189</v>
      </c>
      <c r="F12" s="477">
        <v>4667.781928450554</v>
      </c>
      <c r="G12" s="493">
        <v>22127.928686173029</v>
      </c>
    </row>
    <row r="13" spans="2:7" ht="15" customHeight="1" x14ac:dyDescent="0.2">
      <c r="B13" s="109" t="s">
        <v>24</v>
      </c>
      <c r="C13" s="477">
        <v>2755.7068614601503</v>
      </c>
      <c r="D13" s="477">
        <v>21048.849747064709</v>
      </c>
      <c r="E13" s="477">
        <v>14.6367298320692</v>
      </c>
      <c r="F13" s="477">
        <v>4454.1877279907931</v>
      </c>
      <c r="G13" s="493">
        <v>28273.38106634772</v>
      </c>
    </row>
    <row r="14" spans="2:7" ht="15" customHeight="1" x14ac:dyDescent="0.2">
      <c r="B14" s="109" t="s">
        <v>25</v>
      </c>
      <c r="C14" s="477">
        <v>21858.470438680102</v>
      </c>
      <c r="D14" s="477">
        <v>43896.27376885619</v>
      </c>
      <c r="E14" s="477">
        <v>63.801562049331984</v>
      </c>
      <c r="F14" s="477">
        <v>9484.2425760270817</v>
      </c>
      <c r="G14" s="493">
        <v>75302.788345612717</v>
      </c>
    </row>
    <row r="15" spans="2:7" ht="15" customHeight="1" x14ac:dyDescent="0.2">
      <c r="B15" s="109" t="s">
        <v>26</v>
      </c>
      <c r="C15" s="477">
        <v>159.70865044055938</v>
      </c>
      <c r="D15" s="477">
        <v>2097.1977555880603</v>
      </c>
      <c r="E15" s="477">
        <v>0</v>
      </c>
      <c r="F15" s="477">
        <v>32.802272409049998</v>
      </c>
      <c r="G15" s="493">
        <v>2289.7086784376697</v>
      </c>
    </row>
    <row r="16" spans="2:7" ht="15" customHeight="1" x14ac:dyDescent="0.2">
      <c r="B16" s="109" t="s">
        <v>27</v>
      </c>
      <c r="C16" s="477">
        <v>5.4658092731199996</v>
      </c>
      <c r="D16" s="477">
        <v>113.09806904332501</v>
      </c>
      <c r="E16" s="477">
        <v>0</v>
      </c>
      <c r="F16" s="477">
        <v>4.2336934361999967</v>
      </c>
      <c r="G16" s="493">
        <v>122.79757175264501</v>
      </c>
    </row>
    <row r="17" spans="2:7" ht="15" customHeight="1" x14ac:dyDescent="0.2">
      <c r="B17" s="109" t="s">
        <v>28</v>
      </c>
      <c r="C17" s="477">
        <v>110.88945422482487</v>
      </c>
      <c r="D17" s="477">
        <v>3282.2473312730376</v>
      </c>
      <c r="E17" s="477">
        <v>8.2510278589500015</v>
      </c>
      <c r="F17" s="477">
        <v>1381.7520548018369</v>
      </c>
      <c r="G17" s="493">
        <v>4783.1398681586488</v>
      </c>
    </row>
    <row r="18" spans="2:7" ht="15" customHeight="1" x14ac:dyDescent="0.2">
      <c r="B18" s="109" t="s">
        <v>4</v>
      </c>
      <c r="C18" s="477">
        <v>1042.6099136051635</v>
      </c>
      <c r="D18" s="477">
        <v>24033.567346239579</v>
      </c>
      <c r="E18" s="477">
        <v>16.268524773079999</v>
      </c>
      <c r="F18" s="477">
        <v>2699.9522131976987</v>
      </c>
      <c r="G18" s="493">
        <v>27792.397997815522</v>
      </c>
    </row>
    <row r="19" spans="2:7" ht="15" customHeight="1" x14ac:dyDescent="0.2">
      <c r="B19" s="109" t="s">
        <v>43</v>
      </c>
      <c r="C19" s="477">
        <v>601.81795959276201</v>
      </c>
      <c r="D19" s="477">
        <v>3177.9105078726479</v>
      </c>
      <c r="E19" s="477">
        <v>0.59505322049999998</v>
      </c>
      <c r="F19" s="477">
        <v>319.23158246157766</v>
      </c>
      <c r="G19" s="493">
        <v>4099.5551031474879</v>
      </c>
    </row>
    <row r="20" spans="2:7" ht="15" customHeight="1" x14ac:dyDescent="0.2">
      <c r="B20" s="109" t="s">
        <v>686</v>
      </c>
      <c r="C20" s="477">
        <v>0</v>
      </c>
      <c r="D20" s="477">
        <v>0</v>
      </c>
      <c r="E20" s="477">
        <v>0</v>
      </c>
      <c r="F20" s="477">
        <v>0</v>
      </c>
      <c r="G20" s="493">
        <v>0</v>
      </c>
    </row>
    <row r="21" spans="2:7" ht="15" customHeight="1" x14ac:dyDescent="0.2">
      <c r="B21" s="109" t="s">
        <v>687</v>
      </c>
      <c r="C21" s="477">
        <v>0</v>
      </c>
      <c r="D21" s="477">
        <v>0</v>
      </c>
      <c r="E21" s="477">
        <v>0</v>
      </c>
      <c r="F21" s="477">
        <v>0</v>
      </c>
      <c r="G21" s="493">
        <v>0</v>
      </c>
    </row>
    <row r="22" spans="2:7" ht="15" customHeight="1" x14ac:dyDescent="0.2">
      <c r="B22" s="494" t="s">
        <v>29</v>
      </c>
      <c r="C22" s="477">
        <v>0</v>
      </c>
      <c r="D22" s="477">
        <v>13.4932983475</v>
      </c>
      <c r="E22" s="477">
        <v>0</v>
      </c>
      <c r="F22" s="477">
        <v>0</v>
      </c>
      <c r="G22" s="493">
        <v>13.4932983475</v>
      </c>
    </row>
    <row r="23" spans="2:7" ht="15" customHeight="1" x14ac:dyDescent="0.2">
      <c r="B23" s="501" t="s">
        <v>36</v>
      </c>
      <c r="C23" s="229">
        <v>214018.14611076549</v>
      </c>
      <c r="D23" s="229">
        <v>939489.434875582</v>
      </c>
      <c r="E23" s="229">
        <v>402.17634239809632</v>
      </c>
      <c r="F23" s="229">
        <v>143755.83023237906</v>
      </c>
      <c r="G23" s="231">
        <v>1297665.5875611245</v>
      </c>
    </row>
  </sheetData>
  <mergeCells count="4">
    <mergeCell ref="B5:B6"/>
    <mergeCell ref="C5:D5"/>
    <mergeCell ref="E5:F5"/>
    <mergeCell ref="G5:G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BBBDBC51-5CF3-44E6-8100-D55A2987E26E}">
            <xm:f>Sheet1!$D$4</xm:f>
            <xm:f>Sheet1!$E$4</xm:f>
            <x14:dxf>
              <numFmt numFmtId="173" formatCode="&quot;&lt; 1&quot;"/>
            </x14:dxf>
          </x14:cfRule>
          <xm:sqref>C8:G23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59999389629810485"/>
  </sheetPr>
  <dimension ref="B3:F14"/>
  <sheetViews>
    <sheetView workbookViewId="0"/>
  </sheetViews>
  <sheetFormatPr defaultRowHeight="15" customHeight="1" x14ac:dyDescent="0.2"/>
  <cols>
    <col min="2" max="6" width="12.625" customWidth="1"/>
  </cols>
  <sheetData>
    <row r="3" spans="2:6" ht="15" customHeight="1" x14ac:dyDescent="0.2">
      <c r="B3" t="s">
        <v>54</v>
      </c>
      <c r="C3" t="s">
        <v>53</v>
      </c>
    </row>
    <row r="5" spans="2:6" ht="30" customHeight="1" x14ac:dyDescent="0.2">
      <c r="B5" s="503" t="s">
        <v>45</v>
      </c>
      <c r="C5" s="481" t="s">
        <v>46</v>
      </c>
      <c r="D5" s="481" t="s">
        <v>47</v>
      </c>
      <c r="E5" s="504" t="s">
        <v>18</v>
      </c>
      <c r="F5" s="505" t="s">
        <v>48</v>
      </c>
    </row>
    <row r="6" spans="2:6" ht="15" customHeight="1" x14ac:dyDescent="0.2">
      <c r="B6" s="69" t="str">
        <f>Index!B4</f>
        <v>England</v>
      </c>
      <c r="C6" s="487"/>
      <c r="D6" s="487"/>
      <c r="E6" s="487"/>
      <c r="F6" s="487"/>
    </row>
    <row r="7" spans="2:6" ht="15" customHeight="1" x14ac:dyDescent="0.2">
      <c r="B7" s="109" t="s">
        <v>49</v>
      </c>
      <c r="C7" s="245">
        <v>144207.63260899999</v>
      </c>
      <c r="D7" s="245">
        <v>144668</v>
      </c>
      <c r="E7" s="502">
        <v>0.1111285018037961</v>
      </c>
      <c r="F7" s="506">
        <v>0.99681776625791463</v>
      </c>
    </row>
    <row r="8" spans="2:6" ht="15" customHeight="1" x14ac:dyDescent="0.2">
      <c r="B8" s="109" t="s">
        <v>350</v>
      </c>
      <c r="C8" s="245">
        <v>264514.45932600001</v>
      </c>
      <c r="D8" s="245">
        <v>63468</v>
      </c>
      <c r="E8" s="502">
        <v>0.2038386945165411</v>
      </c>
      <c r="F8" s="506">
        <v>4.1676822859708835</v>
      </c>
    </row>
    <row r="9" spans="2:6" ht="15" customHeight="1" x14ac:dyDescent="0.2">
      <c r="B9" s="109" t="s">
        <v>351</v>
      </c>
      <c r="C9" s="245">
        <v>132457.198611</v>
      </c>
      <c r="D9" s="245">
        <v>9484</v>
      </c>
      <c r="E9" s="502">
        <v>0.10207344624177425</v>
      </c>
      <c r="F9" s="506">
        <v>13.966385344896668</v>
      </c>
    </row>
    <row r="10" spans="2:6" ht="15" customHeight="1" x14ac:dyDescent="0.2">
      <c r="B10" s="109" t="s">
        <v>352</v>
      </c>
      <c r="C10" s="245">
        <v>190190.321861</v>
      </c>
      <c r="D10" s="245">
        <v>6189</v>
      </c>
      <c r="E10" s="502">
        <v>0.14656343179352374</v>
      </c>
      <c r="F10" s="506">
        <v>30.730380006624657</v>
      </c>
    </row>
    <row r="11" spans="2:6" ht="15" customHeight="1" x14ac:dyDescent="0.2">
      <c r="B11" s="109" t="s">
        <v>353</v>
      </c>
      <c r="C11" s="245">
        <v>151335.83163599999</v>
      </c>
      <c r="D11" s="245">
        <v>2181</v>
      </c>
      <c r="E11" s="502">
        <v>0.11662159578293094</v>
      </c>
      <c r="F11" s="506">
        <v>69.388276770288854</v>
      </c>
    </row>
    <row r="12" spans="2:6" ht="15" customHeight="1" x14ac:dyDescent="0.2">
      <c r="B12" s="109" t="s">
        <v>354</v>
      </c>
      <c r="C12" s="245">
        <v>270987.20789899997</v>
      </c>
      <c r="D12" s="245">
        <v>1445</v>
      </c>
      <c r="E12" s="502">
        <v>0.20882668883040972</v>
      </c>
      <c r="F12" s="506">
        <v>187.53439993010377</v>
      </c>
    </row>
    <row r="13" spans="2:6" ht="15" customHeight="1" x14ac:dyDescent="0.2">
      <c r="B13" s="109" t="s">
        <v>50</v>
      </c>
      <c r="C13" s="245">
        <v>143972.93580800001</v>
      </c>
      <c r="D13" s="245">
        <v>117</v>
      </c>
      <c r="E13" s="502">
        <v>0.11094764103102418</v>
      </c>
      <c r="F13" s="506">
        <v>1230.537912888889</v>
      </c>
    </row>
    <row r="14" spans="2:6" ht="15" customHeight="1" x14ac:dyDescent="0.2">
      <c r="B14" s="501" t="s">
        <v>51</v>
      </c>
      <c r="C14" s="507">
        <v>1297665.5877499999</v>
      </c>
      <c r="D14" s="507">
        <v>227552</v>
      </c>
      <c r="E14" s="508">
        <v>1</v>
      </c>
      <c r="F14" s="509">
        <v>5.7027210824339054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58331C86-BE2D-47F9-B98A-1681F5D41FCB}">
            <xm:f>Sheet1!$D$4</xm:f>
            <xm:f>Sheet1!$E$4</xm:f>
            <x14:dxf>
              <numFmt numFmtId="173" formatCode="&quot;&lt; 1&quot;"/>
            </x14:dxf>
          </x14:cfRule>
          <xm:sqref>C7:D14 F7:F14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0.59999389629810485"/>
  </sheetPr>
  <dimension ref="B3:D19"/>
  <sheetViews>
    <sheetView workbookViewId="0"/>
  </sheetViews>
  <sheetFormatPr defaultRowHeight="15" customHeight="1" x14ac:dyDescent="0.2"/>
  <cols>
    <col min="2" max="2" width="30.625" customWidth="1"/>
    <col min="3" max="4" width="12.625" customWidth="1"/>
  </cols>
  <sheetData>
    <row r="3" spans="2:4" ht="15" customHeight="1" x14ac:dyDescent="0.2">
      <c r="B3" t="s">
        <v>69</v>
      </c>
      <c r="C3" t="s">
        <v>55</v>
      </c>
    </row>
    <row r="5" spans="2:4" ht="15" customHeight="1" x14ac:dyDescent="0.2">
      <c r="B5" s="1051" t="s">
        <v>56</v>
      </c>
      <c r="C5" s="1053" t="s">
        <v>17</v>
      </c>
      <c r="D5" s="1039" t="s">
        <v>18</v>
      </c>
    </row>
    <row r="6" spans="2:4" ht="15" customHeight="1" x14ac:dyDescent="0.2">
      <c r="B6" s="1052"/>
      <c r="C6" s="1054"/>
      <c r="D6" s="1040"/>
    </row>
    <row r="7" spans="2:4" ht="15" customHeight="1" x14ac:dyDescent="0.2">
      <c r="B7" s="487" t="str">
        <f>Index!$B$4</f>
        <v>England</v>
      </c>
      <c r="C7" s="487"/>
      <c r="D7" s="487"/>
    </row>
    <row r="8" spans="2:4" ht="15" customHeight="1" x14ac:dyDescent="0.2">
      <c r="B8" s="109" t="s">
        <v>57</v>
      </c>
      <c r="C8" s="477">
        <v>2391.1807192925021</v>
      </c>
      <c r="D8" s="483">
        <v>9.321676493792258E-2</v>
      </c>
    </row>
    <row r="9" spans="2:4" ht="15" customHeight="1" x14ac:dyDescent="0.2">
      <c r="B9" s="109" t="s">
        <v>58</v>
      </c>
      <c r="C9" s="477">
        <v>2396.0311771551574</v>
      </c>
      <c r="D9" s="483">
        <v>9.3405853109626402E-2</v>
      </c>
    </row>
    <row r="10" spans="2:4" ht="15" customHeight="1" x14ac:dyDescent="0.2">
      <c r="B10" s="109" t="s">
        <v>59</v>
      </c>
      <c r="C10" s="477">
        <v>16889.970363061748</v>
      </c>
      <c r="D10" s="483">
        <v>0.65843137009228003</v>
      </c>
    </row>
    <row r="11" spans="2:4" ht="15" customHeight="1" x14ac:dyDescent="0.2">
      <c r="B11" s="109" t="s">
        <v>60</v>
      </c>
      <c r="C11" s="477">
        <v>23.373144635349</v>
      </c>
      <c r="D11" s="483">
        <v>9.1116865896193912E-4</v>
      </c>
    </row>
    <row r="12" spans="2:4" ht="15" customHeight="1" x14ac:dyDescent="0.2">
      <c r="B12" s="109" t="s">
        <v>61</v>
      </c>
      <c r="C12" s="477">
        <v>267.39515890984995</v>
      </c>
      <c r="D12" s="483">
        <v>1.0424018340618317E-2</v>
      </c>
    </row>
    <row r="13" spans="2:4" ht="15" customHeight="1" x14ac:dyDescent="0.2">
      <c r="B13" s="109" t="s">
        <v>62</v>
      </c>
      <c r="C13" s="477">
        <v>15.105991115500101</v>
      </c>
      <c r="D13" s="483">
        <v>5.8888548724353852E-4</v>
      </c>
    </row>
    <row r="14" spans="2:4" ht="15" customHeight="1" x14ac:dyDescent="0.2">
      <c r="B14" s="109" t="s">
        <v>63</v>
      </c>
      <c r="C14" s="477">
        <v>163.37855744125002</v>
      </c>
      <c r="D14" s="483">
        <v>6.369079702768763E-3</v>
      </c>
    </row>
    <row r="15" spans="2:4" ht="15" customHeight="1" x14ac:dyDescent="0.2">
      <c r="B15" s="109" t="s">
        <v>64</v>
      </c>
      <c r="C15" s="477">
        <v>826.50195682028459</v>
      </c>
      <c r="D15" s="483">
        <v>3.2219998266147402E-2</v>
      </c>
    </row>
    <row r="16" spans="2:4" ht="15" customHeight="1" x14ac:dyDescent="0.2">
      <c r="B16" s="109" t="s">
        <v>65</v>
      </c>
      <c r="C16" s="477">
        <v>1514.8066064809759</v>
      </c>
      <c r="D16" s="483">
        <v>5.9052571904531288E-2</v>
      </c>
    </row>
    <row r="17" spans="2:4" ht="15" customHeight="1" x14ac:dyDescent="0.2">
      <c r="B17" s="109" t="s">
        <v>66</v>
      </c>
      <c r="C17" s="477">
        <v>1164.0875261047292</v>
      </c>
      <c r="D17" s="483">
        <v>4.5380289499899792E-2</v>
      </c>
    </row>
    <row r="18" spans="2:4" ht="15" customHeight="1" x14ac:dyDescent="0.2">
      <c r="B18" s="109" t="s">
        <v>67</v>
      </c>
      <c r="C18" s="477">
        <v>0</v>
      </c>
      <c r="D18" s="483">
        <v>0</v>
      </c>
    </row>
    <row r="19" spans="2:4" ht="15" customHeight="1" x14ac:dyDescent="0.2">
      <c r="B19" s="501" t="s">
        <v>30</v>
      </c>
      <c r="C19" s="229">
        <v>25651.831201017343</v>
      </c>
      <c r="D19" s="486">
        <v>1</v>
      </c>
    </row>
  </sheetData>
  <mergeCells count="3">
    <mergeCell ref="B5:B6"/>
    <mergeCell ref="C5:C6"/>
    <mergeCell ref="D5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975560DA-F6EC-4BAF-9507-950D9580F348}">
            <xm:f>Sheet1!$D$4</xm:f>
            <xm:f>Sheet1!$E$4</xm:f>
            <x14:dxf>
              <numFmt numFmtId="173" formatCode="&quot;&lt; 1&quot;"/>
            </x14:dxf>
          </x14:cfRule>
          <xm:sqref>C8:C19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Index!$E$19</f>
        <v>Net area under canopy</v>
      </c>
    </row>
  </sheetData>
  <hyperlinks>
    <hyperlink ref="A1" location="Index!B16" display="Return to index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70</v>
      </c>
      <c r="C3" t="s">
        <v>436</v>
      </c>
    </row>
    <row r="5" spans="2:6" ht="15" customHeight="1" x14ac:dyDescent="0.2">
      <c r="B5" s="1055" t="s">
        <v>77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056"/>
      <c r="C6" s="36" t="s">
        <v>81</v>
      </c>
      <c r="D6" s="36" t="s">
        <v>81</v>
      </c>
      <c r="E6" s="3" t="s">
        <v>82</v>
      </c>
      <c r="F6" s="212" t="s">
        <v>81</v>
      </c>
    </row>
    <row r="7" spans="2:6" ht="15" customHeight="1" x14ac:dyDescent="0.2">
      <c r="B7" s="203" t="s">
        <v>83</v>
      </c>
      <c r="C7" s="204"/>
      <c r="D7" s="204"/>
      <c r="E7" s="4"/>
      <c r="F7" s="204"/>
    </row>
    <row r="8" spans="2:6" ht="15" customHeight="1" x14ac:dyDescent="0.2">
      <c r="B8" s="133" t="s">
        <v>84</v>
      </c>
      <c r="C8" s="60">
        <f>'Section 2 data'!$D$8</f>
        <v>48.569420000000001</v>
      </c>
      <c r="D8" s="265">
        <f>'Section 2 data'!$E$8</f>
        <v>31.69772</v>
      </c>
      <c r="E8" s="205">
        <f>'Section 2 data'!$F$8</f>
        <v>6.446195633513951</v>
      </c>
      <c r="F8" s="266">
        <f>SUM(C8,D8)</f>
        <v>80.267139999999998</v>
      </c>
    </row>
    <row r="9" spans="2:6" ht="15" customHeight="1" x14ac:dyDescent="0.2">
      <c r="B9" s="133" t="s">
        <v>85</v>
      </c>
      <c r="C9" s="60">
        <f>'Section 2 data'!$D$9</f>
        <v>16.69171</v>
      </c>
      <c r="D9" s="265">
        <f>'Section 2 data'!$E$9</f>
        <v>44.762980000000006</v>
      </c>
      <c r="E9" s="205">
        <f>'Section 2 data'!$F$9</f>
        <v>4.6723785161889415</v>
      </c>
      <c r="F9" s="266">
        <f t="shared" ref="F9:F16" si="0">SUM(C9,D9)</f>
        <v>61.454690000000006</v>
      </c>
    </row>
    <row r="10" spans="2:6" ht="15" customHeight="1" x14ac:dyDescent="0.2">
      <c r="B10" s="133" t="s">
        <v>86</v>
      </c>
      <c r="C10" s="60">
        <f>'Section 2 data'!$D$10</f>
        <v>26.695469999999997</v>
      </c>
      <c r="D10" s="265">
        <f>'Section 2 data'!$E$10</f>
        <v>13.804870000000001</v>
      </c>
      <c r="E10" s="205">
        <f>'Section 2 data'!$F$10</f>
        <v>9.0780336101589345</v>
      </c>
      <c r="F10" s="266">
        <f t="shared" si="0"/>
        <v>40.500339999999994</v>
      </c>
    </row>
    <row r="11" spans="2:6" ht="15" customHeight="1" x14ac:dyDescent="0.2">
      <c r="B11" s="133" t="s">
        <v>87</v>
      </c>
      <c r="C11" s="60">
        <f>'Section 2 data'!$D$11</f>
        <v>6.7848999999999995</v>
      </c>
      <c r="D11" s="265">
        <f>'Section 2 data'!$E$11</f>
        <v>20.005980000000001</v>
      </c>
      <c r="E11" s="205">
        <f>'Section 2 data'!$F$11</f>
        <v>6.5982879123414726</v>
      </c>
      <c r="F11" s="266">
        <f t="shared" si="0"/>
        <v>26.790880000000001</v>
      </c>
    </row>
    <row r="12" spans="2:6" ht="15" customHeight="1" x14ac:dyDescent="0.2">
      <c r="B12" s="133" t="s">
        <v>88</v>
      </c>
      <c r="C12" s="60">
        <f>'Section 2 data'!$D$12</f>
        <v>9.8961100000000002</v>
      </c>
      <c r="D12" s="265">
        <f>'Section 2 data'!$E$12</f>
        <v>30.346109999999999</v>
      </c>
      <c r="E12" s="205">
        <f>'Section 2 data'!$F$12</f>
        <v>5.0982243069023951</v>
      </c>
      <c r="F12" s="266">
        <f t="shared" si="0"/>
        <v>40.242220000000003</v>
      </c>
    </row>
    <row r="13" spans="2:6" ht="15" customHeight="1" x14ac:dyDescent="0.2">
      <c r="B13" s="133" t="s">
        <v>89</v>
      </c>
      <c r="C13" s="60">
        <f>'Section 2 data'!$D$13</f>
        <v>9.8138400000000008</v>
      </c>
      <c r="D13" s="265">
        <f>'Section 2 data'!$E$13</f>
        <v>14.620640000000002</v>
      </c>
      <c r="E13" s="205">
        <f>'Section 2 data'!$F$13</f>
        <v>7.6280447221036676</v>
      </c>
      <c r="F13" s="266">
        <f t="shared" si="0"/>
        <v>24.434480000000001</v>
      </c>
    </row>
    <row r="14" spans="2:6" ht="15" customHeight="1" x14ac:dyDescent="0.2">
      <c r="B14" s="133" t="s">
        <v>90</v>
      </c>
      <c r="C14" s="60">
        <f>'Section 2 data'!$D$14</f>
        <v>4.3978400000000004</v>
      </c>
      <c r="D14" s="265">
        <f>'Section 2 data'!$E$14</f>
        <v>3.2974200000000002</v>
      </c>
      <c r="E14" s="205">
        <f>'Section 2 data'!$F$14</f>
        <v>17.083189747781525</v>
      </c>
      <c r="F14" s="266">
        <f t="shared" si="0"/>
        <v>7.6952600000000011</v>
      </c>
    </row>
    <row r="15" spans="2:6" ht="15" customHeight="1" x14ac:dyDescent="0.2">
      <c r="B15" s="133" t="s">
        <v>91</v>
      </c>
      <c r="C15" s="60">
        <f>'Section 2 data'!$D$15</f>
        <v>4.6632799999999994</v>
      </c>
      <c r="D15" s="265">
        <f>'Section 2 data'!$E$15</f>
        <v>18.756619999999998</v>
      </c>
      <c r="E15" s="205">
        <f>'Section 2 data'!$F$15</f>
        <v>6.8993012274003886</v>
      </c>
      <c r="F15" s="266">
        <f t="shared" si="0"/>
        <v>23.419899999999998</v>
      </c>
    </row>
    <row r="16" spans="2:6" ht="15" customHeight="1" x14ac:dyDescent="0.2">
      <c r="B16" s="132" t="s">
        <v>92</v>
      </c>
      <c r="C16" s="267">
        <f>'Section 2 data'!$D$6</f>
        <v>127.51262</v>
      </c>
      <c r="D16" s="268">
        <f>'Section 2 data'!$E$6</f>
        <v>177.55427</v>
      </c>
      <c r="E16" s="209">
        <f>'Section 2 data'!$F$6</f>
        <v>1.838364322627509</v>
      </c>
      <c r="F16" s="269">
        <f t="shared" si="0"/>
        <v>305.06689</v>
      </c>
    </row>
    <row r="17" spans="2:6" ht="15" customHeight="1" x14ac:dyDescent="0.2">
      <c r="B17" s="203" t="s">
        <v>93</v>
      </c>
      <c r="C17" s="204"/>
      <c r="D17" s="204"/>
      <c r="E17" s="4"/>
      <c r="F17" s="204"/>
    </row>
    <row r="18" spans="2:6" ht="15" customHeight="1" x14ac:dyDescent="0.2">
      <c r="B18" s="133" t="s">
        <v>94</v>
      </c>
      <c r="C18" s="60">
        <f>'Section 2 data'!$D$16</f>
        <v>15.691970000000001</v>
      </c>
      <c r="D18" s="265">
        <f>'Section 2 data'!$E$16</f>
        <v>150.71477000000002</v>
      </c>
      <c r="E18" s="205">
        <f>'Section 2 data'!$F$16</f>
        <v>2.5538579194905484</v>
      </c>
      <c r="F18" s="266">
        <f t="shared" ref="F18:F29" si="1">SUM(C18,D18)</f>
        <v>166.40674000000001</v>
      </c>
    </row>
    <row r="19" spans="2:6" ht="15" customHeight="1" x14ac:dyDescent="0.2">
      <c r="B19" s="133" t="s">
        <v>95</v>
      </c>
      <c r="C19" s="60">
        <f>'Section 2 data'!$D$17</f>
        <v>12.705789999999997</v>
      </c>
      <c r="D19" s="265">
        <f>'Section 2 data'!$E$17</f>
        <v>57.608029999999999</v>
      </c>
      <c r="E19" s="205">
        <f>'Section 2 data'!$F$17</f>
        <v>4.2695556455119483</v>
      </c>
      <c r="F19" s="266">
        <f t="shared" si="1"/>
        <v>70.313819999999993</v>
      </c>
    </row>
    <row r="20" spans="2:6" ht="15" customHeight="1" x14ac:dyDescent="0.2">
      <c r="B20" s="133" t="s">
        <v>96</v>
      </c>
      <c r="C20" s="60">
        <f>'Section 2 data'!$D$18</f>
        <v>1.13195</v>
      </c>
      <c r="D20" s="265">
        <f>'Section 2 data'!$E$18</f>
        <v>74.428979999999996</v>
      </c>
      <c r="E20" s="205">
        <f>'Section 2 data'!$F$18</f>
        <v>3.8546357073984203</v>
      </c>
      <c r="F20" s="266">
        <f t="shared" si="1"/>
        <v>75.560929999999999</v>
      </c>
    </row>
    <row r="21" spans="2:6" ht="15" customHeight="1" x14ac:dyDescent="0.2">
      <c r="B21" s="133" t="s">
        <v>97</v>
      </c>
      <c r="C21" s="60">
        <f>'Section 2 data'!$D$19</f>
        <v>2.9447799999999997</v>
      </c>
      <c r="D21" s="265">
        <f>'Section 2 data'!$E$19</f>
        <v>117.61790000000001</v>
      </c>
      <c r="E21" s="205">
        <f>'Section 2 data'!$F$19</f>
        <v>2.7270042930829193</v>
      </c>
      <c r="F21" s="266">
        <f t="shared" si="1"/>
        <v>120.56268</v>
      </c>
    </row>
    <row r="22" spans="2:6" ht="15" customHeight="1" x14ac:dyDescent="0.2">
      <c r="B22" s="133" t="s">
        <v>98</v>
      </c>
      <c r="C22" s="60">
        <f>'Section 2 data'!$D$20</f>
        <v>5.7794400000000001</v>
      </c>
      <c r="D22" s="265">
        <f>'Section 2 data'!$E$20</f>
        <v>89.681929999999994</v>
      </c>
      <c r="E22" s="205">
        <f>'Section 2 data'!$F$20</f>
        <v>3.3719981917071751</v>
      </c>
      <c r="F22" s="266">
        <f t="shared" si="1"/>
        <v>95.461369999999988</v>
      </c>
    </row>
    <row r="23" spans="2:6" ht="15" customHeight="1" x14ac:dyDescent="0.2">
      <c r="B23" s="133" t="s">
        <v>99</v>
      </c>
      <c r="C23" s="60">
        <f>'Section 2 data'!$D$21</f>
        <v>0.83292999999999995</v>
      </c>
      <c r="D23" s="265">
        <f>'Section 2 data'!$E$21</f>
        <v>29.271480000000004</v>
      </c>
      <c r="E23" s="205">
        <f>'Section 2 data'!$F$21</f>
        <v>7.1523689695188057</v>
      </c>
      <c r="F23" s="266">
        <f t="shared" si="1"/>
        <v>30.104410000000005</v>
      </c>
    </row>
    <row r="24" spans="2:6" ht="15" customHeight="1" x14ac:dyDescent="0.2">
      <c r="B24" s="133" t="s">
        <v>100</v>
      </c>
      <c r="C24" s="60">
        <f>'Section 2 data'!$D$22</f>
        <v>0.42374000000000001</v>
      </c>
      <c r="D24" s="265">
        <f>'Section 2 data'!$E$22</f>
        <v>62.353940000000001</v>
      </c>
      <c r="E24" s="205">
        <f>'Section 2 data'!$F$22</f>
        <v>3.7521788418596067</v>
      </c>
      <c r="F24" s="266">
        <f t="shared" si="1"/>
        <v>62.777680000000004</v>
      </c>
    </row>
    <row r="25" spans="2:6" ht="15" customHeight="1" x14ac:dyDescent="0.2">
      <c r="B25" s="133" t="s">
        <v>101</v>
      </c>
      <c r="C25" s="60">
        <f>'Section 2 data'!$D$23</f>
        <v>1.7900000000000001E-3</v>
      </c>
      <c r="D25" s="265">
        <f>'Section 2 data'!$E$23</f>
        <v>55.823369999999997</v>
      </c>
      <c r="E25" s="205">
        <f>'Section 2 data'!$F$23</f>
        <v>7.5813972768353226</v>
      </c>
      <c r="F25" s="266">
        <f t="shared" si="1"/>
        <v>55.825159999999997</v>
      </c>
    </row>
    <row r="26" spans="2:6" ht="15" customHeight="1" x14ac:dyDescent="0.2">
      <c r="B26" s="133" t="s">
        <v>102</v>
      </c>
      <c r="C26" s="60">
        <f>'Section 2 data'!$D$24</f>
        <v>0.50868000000000002</v>
      </c>
      <c r="D26" s="265">
        <f>'Section 2 data'!$E$24</f>
        <v>30.063890000000008</v>
      </c>
      <c r="E26" s="205">
        <f>'Section 2 data'!$F$24</f>
        <v>6.1532893333423777</v>
      </c>
      <c r="F26" s="266">
        <f t="shared" si="1"/>
        <v>30.572570000000006</v>
      </c>
    </row>
    <row r="27" spans="2:6" ht="15" customHeight="1" x14ac:dyDescent="0.2">
      <c r="B27" s="133" t="s">
        <v>103</v>
      </c>
      <c r="C27" s="60">
        <f>'Section 2 data'!$D$25</f>
        <v>3.2500000000000001E-2</v>
      </c>
      <c r="D27" s="265">
        <f>'Section 2 data'!$E$25</f>
        <v>40.274530000000006</v>
      </c>
      <c r="E27" s="205">
        <f>'Section 2 data'!$F$25</f>
        <v>5.3141951746015446</v>
      </c>
      <c r="F27" s="266">
        <f t="shared" si="1"/>
        <v>40.307030000000005</v>
      </c>
    </row>
    <row r="28" spans="2:6" ht="15" customHeight="1" x14ac:dyDescent="0.2">
      <c r="B28" s="133" t="s">
        <v>104</v>
      </c>
      <c r="C28" s="60">
        <f>'Section 2 data'!$D$26</f>
        <v>13.607280000000001</v>
      </c>
      <c r="D28" s="265">
        <f>'Section 2 data'!$E$26</f>
        <v>130.07605999999998</v>
      </c>
      <c r="E28" s="205">
        <f>'Section 2 data'!$F$26</f>
        <v>2.8019746628217761</v>
      </c>
      <c r="F28" s="266">
        <f t="shared" si="1"/>
        <v>143.68333999999999</v>
      </c>
    </row>
    <row r="29" spans="2:6" ht="15" customHeight="1" x14ac:dyDescent="0.2">
      <c r="B29" s="132" t="s">
        <v>105</v>
      </c>
      <c r="C29" s="267">
        <f>'Section 2 data'!$D$7</f>
        <v>53.660849999999996</v>
      </c>
      <c r="D29" s="268">
        <f>'Section 2 data'!$E$7</f>
        <v>838.83070999999995</v>
      </c>
      <c r="E29" s="209">
        <f>'Section 2 data'!$F$7</f>
        <v>0.83000155512029494</v>
      </c>
      <c r="F29" s="269">
        <f t="shared" si="1"/>
        <v>892.49155999999994</v>
      </c>
    </row>
    <row r="30" spans="2:6" ht="15" customHeight="1" x14ac:dyDescent="0.2">
      <c r="B30" s="203" t="s">
        <v>106</v>
      </c>
      <c r="C30" s="211"/>
      <c r="D30" s="211"/>
      <c r="E30" s="5"/>
      <c r="F30" s="211"/>
    </row>
    <row r="31" spans="2:6" ht="15" customHeight="1" x14ac:dyDescent="0.2">
      <c r="B31" s="132" t="s">
        <v>106</v>
      </c>
      <c r="C31" s="267">
        <f>'Section 2 data'!$D$5</f>
        <v>181.17345999999995</v>
      </c>
      <c r="D31" s="268">
        <f>'Section 2 data'!$E$5</f>
        <v>1016.37209</v>
      </c>
      <c r="E31" s="209">
        <f>'Section 2 data'!$F$5</f>
        <v>0.64792943065038755</v>
      </c>
      <c r="F31" s="269">
        <f>SUM(C31,D31)</f>
        <v>1197.5455499999998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6F64CF7-678C-480F-8022-01DFCA1407B4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4E0659B0-54A1-48A4-8F35-5348BDD3F2D1}">
            <xm:f>Sheet1!$D$5</xm:f>
            <xm:f>Sheet1!$E$5</xm:f>
            <x14:dxf>
              <numFmt numFmtId="174" formatCode="&quot;&lt; 0.1&quot;"/>
            </x14:dxf>
          </x14:cfRule>
          <xm:sqref>C8:D31 F8:F31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G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71</v>
      </c>
      <c r="C3" t="s">
        <v>819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704" t="s">
        <v>78</v>
      </c>
      <c r="D6" s="1059" t="s">
        <v>79</v>
      </c>
      <c r="E6" s="1059"/>
      <c r="F6" s="705" t="s">
        <v>80</v>
      </c>
      <c r="G6" s="23"/>
    </row>
    <row r="7" spans="2:7" ht="15" customHeight="1" x14ac:dyDescent="0.2">
      <c r="B7" s="1034"/>
      <c r="C7" s="1060" t="s">
        <v>759</v>
      </c>
      <c r="D7" s="1034"/>
      <c r="E7" s="706" t="s">
        <v>82</v>
      </c>
      <c r="F7" s="705" t="s">
        <v>759</v>
      </c>
      <c r="G7" s="23"/>
    </row>
    <row r="8" spans="2:7" ht="15" customHeight="1" x14ac:dyDescent="0.2">
      <c r="B8" s="707" t="str">
        <f>Index!$B$4</f>
        <v>England</v>
      </c>
      <c r="C8" s="708">
        <f>'Section 2 data country'!$G$6</f>
        <v>127.51262</v>
      </c>
      <c r="D8" s="268">
        <f>'Section 2 data country'!$H$6</f>
        <v>177.55427</v>
      </c>
      <c r="E8" s="209">
        <f>'Section 2 data country'!$I$6</f>
        <v>1.8383643226275099</v>
      </c>
      <c r="F8" s="269">
        <f>SUM(C8,D8)</f>
        <v>305.06689</v>
      </c>
      <c r="G8" s="709"/>
    </row>
    <row r="9" spans="2:7" ht="15" customHeight="1" x14ac:dyDescent="0.2">
      <c r="B9" s="710" t="s">
        <v>286</v>
      </c>
      <c r="C9" s="711">
        <f>'Section 2 data country'!$G$7</f>
        <v>13.633100000000001</v>
      </c>
      <c r="D9" s="712">
        <f>'Section 2 data country'!$H$7</f>
        <v>17.642330000000001</v>
      </c>
      <c r="E9" s="214">
        <f>'Section 2 data country'!$I$7</f>
        <v>5.7</v>
      </c>
      <c r="F9" s="713">
        <f t="shared" ref="F9:F22" si="0">SUM(C9,D9)</f>
        <v>31.27543</v>
      </c>
      <c r="G9" s="23"/>
    </row>
    <row r="10" spans="2:7" ht="15" customHeight="1" x14ac:dyDescent="0.2">
      <c r="B10" s="710" t="s">
        <v>298</v>
      </c>
      <c r="C10" s="711">
        <f>'Section 2 data country'!$G$8</f>
        <v>8.0540900000000004</v>
      </c>
      <c r="D10" s="712">
        <f>'Section 2 data country'!$H$8</f>
        <v>16.745930000000001</v>
      </c>
      <c r="E10" s="214">
        <f>'Section 2 data country'!$I$8</f>
        <v>5.48</v>
      </c>
      <c r="F10" s="713">
        <f t="shared" si="0"/>
        <v>24.800020000000004</v>
      </c>
      <c r="G10" s="703"/>
    </row>
    <row r="11" spans="2:7" ht="15" customHeight="1" x14ac:dyDescent="0.2">
      <c r="B11" s="710" t="s">
        <v>287</v>
      </c>
      <c r="C11" s="711">
        <f>'Section 2 data country'!$G$9</f>
        <v>17.605900000000002</v>
      </c>
      <c r="D11" s="712">
        <f>'Section 2 data country'!$H$9</f>
        <v>15.72425</v>
      </c>
      <c r="E11" s="214">
        <f>'Section 2 data country'!$I$9</f>
        <v>7.12</v>
      </c>
      <c r="F11" s="713">
        <f t="shared" si="0"/>
        <v>33.330150000000003</v>
      </c>
      <c r="G11" s="703"/>
    </row>
    <row r="12" spans="2:7" ht="15" customHeight="1" x14ac:dyDescent="0.2">
      <c r="B12" s="710" t="s">
        <v>288</v>
      </c>
      <c r="C12" s="711">
        <f>'Section 2 data country'!$G$10</f>
        <v>4.7160200000000003</v>
      </c>
      <c r="D12" s="712">
        <f>'Section 2 data country'!$H$10</f>
        <v>7.3907499999999997</v>
      </c>
      <c r="E12" s="214">
        <f>'Section 2 data country'!$I$10</f>
        <v>10.36</v>
      </c>
      <c r="F12" s="713">
        <f t="shared" si="0"/>
        <v>12.106770000000001</v>
      </c>
      <c r="G12" s="703"/>
    </row>
    <row r="13" spans="2:7" ht="15" customHeight="1" x14ac:dyDescent="0.2">
      <c r="B13" s="710" t="s">
        <v>301</v>
      </c>
      <c r="C13" s="711">
        <f>'Section 2 data country'!$G$11</f>
        <v>0.58132000000000006</v>
      </c>
      <c r="D13" s="712">
        <f>'Section 2 data country'!$H$11</f>
        <v>2.0668699999999998</v>
      </c>
      <c r="E13" s="214">
        <f>'Section 2 data country'!$I$11</f>
        <v>19.760000000000002</v>
      </c>
      <c r="F13" s="713">
        <f t="shared" si="0"/>
        <v>2.6481899999999996</v>
      </c>
      <c r="G13" s="703"/>
    </row>
    <row r="14" spans="2:7" ht="15" customHeight="1" x14ac:dyDescent="0.2">
      <c r="B14" s="710" t="s">
        <v>302</v>
      </c>
      <c r="C14" s="711">
        <f>'Section 2 data country'!$G$12</f>
        <v>0.22287000000000001</v>
      </c>
      <c r="D14" s="712">
        <f>'Section 2 data country'!$H$12</f>
        <v>2.8965300000000003</v>
      </c>
      <c r="E14" s="214">
        <f>'Section 2 data country'!$I$12</f>
        <v>17.07</v>
      </c>
      <c r="F14" s="713">
        <f t="shared" si="0"/>
        <v>3.1194000000000002</v>
      </c>
    </row>
    <row r="15" spans="2:7" ht="15" customHeight="1" x14ac:dyDescent="0.2">
      <c r="B15" s="710" t="s">
        <v>303</v>
      </c>
      <c r="C15" s="711">
        <f>'Section 2 data country'!$G$13</f>
        <v>2.5344600000000002</v>
      </c>
      <c r="D15" s="712">
        <f>'Section 2 data country'!$H$13</f>
        <v>7.7100400000000002</v>
      </c>
      <c r="E15" s="214">
        <f>'Section 2 data country'!$I$13</f>
        <v>8.5500000000000007</v>
      </c>
      <c r="F15" s="713">
        <f t="shared" si="0"/>
        <v>10.2445</v>
      </c>
    </row>
    <row r="16" spans="2:7" ht="15" customHeight="1" x14ac:dyDescent="0.2">
      <c r="B16" s="710" t="s">
        <v>304</v>
      </c>
      <c r="C16" s="711">
        <f>'Section 2 data country'!$G$14</f>
        <v>3.00421</v>
      </c>
      <c r="D16" s="712">
        <f>'Section 2 data country'!$H$14</f>
        <v>5.1026300000000004</v>
      </c>
      <c r="E16" s="214">
        <f>'Section 2 data country'!$I$14</f>
        <v>12.79</v>
      </c>
      <c r="F16" s="713">
        <f t="shared" si="0"/>
        <v>8.10684</v>
      </c>
    </row>
    <row r="17" spans="2:6" ht="15" customHeight="1" x14ac:dyDescent="0.2">
      <c r="B17" s="710" t="s">
        <v>291</v>
      </c>
      <c r="C17" s="711">
        <f>'Section 2 data country'!$G$15</f>
        <v>37.577539999999999</v>
      </c>
      <c r="D17" s="712">
        <f>'Section 2 data country'!$H$15</f>
        <v>23.771470000000001</v>
      </c>
      <c r="E17" s="214">
        <f>'Section 2 data country'!$I$15</f>
        <v>5.88</v>
      </c>
      <c r="F17" s="713">
        <f t="shared" si="0"/>
        <v>61.34901</v>
      </c>
    </row>
    <row r="18" spans="2:6" ht="15" customHeight="1" x14ac:dyDescent="0.2">
      <c r="B18" s="710" t="s">
        <v>292</v>
      </c>
      <c r="C18" s="711">
        <f>'Section 2 data country'!$G$16</f>
        <v>7.6618399999999998</v>
      </c>
      <c r="D18" s="712">
        <f>'Section 2 data country'!$H$16</f>
        <v>13.135069999999999</v>
      </c>
      <c r="E18" s="214">
        <f>'Section 2 data country'!$I$16</f>
        <v>5.31</v>
      </c>
      <c r="F18" s="713">
        <f t="shared" si="0"/>
        <v>20.796909999999997</v>
      </c>
    </row>
    <row r="19" spans="2:6" ht="15" customHeight="1" x14ac:dyDescent="0.2">
      <c r="B19" s="710" t="s">
        <v>293</v>
      </c>
      <c r="C19" s="711">
        <f>'Section 2 data country'!$G$17</f>
        <v>1.1405399999999999</v>
      </c>
      <c r="D19" s="712">
        <f>'Section 2 data country'!$H$17</f>
        <v>14.0055</v>
      </c>
      <c r="E19" s="214">
        <f>'Section 2 data country'!$I$17</f>
        <v>5.93</v>
      </c>
      <c r="F19" s="713">
        <f t="shared" si="0"/>
        <v>15.146039999999999</v>
      </c>
    </row>
    <row r="20" spans="2:6" ht="15" customHeight="1" x14ac:dyDescent="0.2">
      <c r="B20" s="710" t="s">
        <v>294</v>
      </c>
      <c r="C20" s="711">
        <f>'Section 2 data country'!$G$18</f>
        <v>6.0478100000000001</v>
      </c>
      <c r="D20" s="712">
        <f>'Section 2 data country'!$H$18</f>
        <v>14.57615</v>
      </c>
      <c r="E20" s="214">
        <f>'Section 2 data country'!$I$18</f>
        <v>5.34</v>
      </c>
      <c r="F20" s="713">
        <f t="shared" si="0"/>
        <v>20.62396</v>
      </c>
    </row>
    <row r="21" spans="2:6" ht="15" customHeight="1" x14ac:dyDescent="0.2">
      <c r="B21" s="710" t="s">
        <v>295</v>
      </c>
      <c r="C21" s="711">
        <f>'Section 2 data country'!$G$19</f>
        <v>11.581440000000001</v>
      </c>
      <c r="D21" s="712">
        <f>'Section 2 data country'!$H$19</f>
        <v>18.497499999999999</v>
      </c>
      <c r="E21" s="214">
        <f>'Section 2 data country'!$I$19</f>
        <v>6.24</v>
      </c>
      <c r="F21" s="713">
        <f t="shared" si="0"/>
        <v>30.078939999999999</v>
      </c>
    </row>
    <row r="22" spans="2:6" ht="15" customHeight="1" x14ac:dyDescent="0.2">
      <c r="B22" s="714" t="s">
        <v>296</v>
      </c>
      <c r="C22" s="715">
        <f>'Section 2 data country'!$G$20</f>
        <v>13.151479999999999</v>
      </c>
      <c r="D22" s="716">
        <f>'Section 2 data country'!$H$20</f>
        <v>18.289249999999999</v>
      </c>
      <c r="E22" s="717">
        <f>'Section 2 data country'!$I$20</f>
        <v>4.3099999999999996</v>
      </c>
      <c r="F22" s="718">
        <f t="shared" si="0"/>
        <v>31.440729999999999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1FBBCBA-B726-4E82-A221-64AE2FE936FB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5" operator="between" id="{0636C19A-4D6E-4531-9C21-A0A7C81ED117}">
            <xm:f>Sheet1!$D$5</xm:f>
            <xm:f>Sheet1!$E$5</xm:f>
            <x14:dxf>
              <numFmt numFmtId="174" formatCode="&quot;&lt; 0.1&quot;"/>
            </x14:dxf>
          </x14:cfRule>
          <xm:sqref>C8:D22 F8:F22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72</v>
      </c>
      <c r="C3" t="s">
        <v>820</v>
      </c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759</v>
      </c>
      <c r="D7" s="1034"/>
      <c r="E7" s="706" t="s">
        <v>82</v>
      </c>
      <c r="F7" s="953" t="s">
        <v>759</v>
      </c>
    </row>
    <row r="8" spans="2:6" ht="15" customHeight="1" x14ac:dyDescent="0.2">
      <c r="B8" s="707" t="str">
        <f>Index!$B$4</f>
        <v>England</v>
      </c>
      <c r="C8" s="708">
        <f>'Section 2 data country'!$K$6</f>
        <v>53.660849999999996</v>
      </c>
      <c r="D8" s="268">
        <f>'Section 2 data country'!$L$6</f>
        <v>838.83070999999995</v>
      </c>
      <c r="E8" s="209">
        <f>'Section 2 data country'!$M$6</f>
        <v>0.83000155512029494</v>
      </c>
      <c r="F8" s="269">
        <f>SUM(C8,D8)</f>
        <v>892.49155999999994</v>
      </c>
    </row>
    <row r="9" spans="2:6" ht="15" customHeight="1" x14ac:dyDescent="0.2">
      <c r="B9" s="710" t="s">
        <v>286</v>
      </c>
      <c r="C9" s="711">
        <f>'Section 2 data country'!$K$7</f>
        <v>2.7056399999999998</v>
      </c>
      <c r="D9" s="712">
        <f>'Section 2 data country'!$L$7</f>
        <v>42.14284</v>
      </c>
      <c r="E9" s="214">
        <f>'Section 2 data country'!$M$7</f>
        <v>2.77</v>
      </c>
      <c r="F9" s="713">
        <f t="shared" ref="F9:F22" si="0">SUM(C9,D9)</f>
        <v>44.848480000000002</v>
      </c>
    </row>
    <row r="10" spans="2:6" ht="15" customHeight="1" x14ac:dyDescent="0.2">
      <c r="B10" s="710" t="s">
        <v>298</v>
      </c>
      <c r="C10" s="711">
        <f>'Section 2 data country'!$K$8</f>
        <v>2.2127600000000003</v>
      </c>
      <c r="D10" s="712">
        <f>'Section 2 data country'!$L$8</f>
        <v>79.515889999999999</v>
      </c>
      <c r="E10" s="214">
        <f>'Section 2 data country'!$M$8</f>
        <v>2.44</v>
      </c>
      <c r="F10" s="713">
        <f t="shared" si="0"/>
        <v>81.728650000000002</v>
      </c>
    </row>
    <row r="11" spans="2:6" ht="15" customHeight="1" x14ac:dyDescent="0.2">
      <c r="B11" s="710" t="s">
        <v>287</v>
      </c>
      <c r="C11" s="711">
        <f>'Section 2 data country'!$K$9</f>
        <v>4.1018500000000007</v>
      </c>
      <c r="D11" s="712">
        <f>'Section 2 data country'!$L$9</f>
        <v>86.757109999999997</v>
      </c>
      <c r="E11" s="214">
        <f>'Section 2 data country'!$M$9</f>
        <v>2.0299999999999998</v>
      </c>
      <c r="F11" s="713">
        <f t="shared" si="0"/>
        <v>90.858959999999996</v>
      </c>
    </row>
    <row r="12" spans="2:6" ht="15" customHeight="1" x14ac:dyDescent="0.2">
      <c r="B12" s="710" t="s">
        <v>288</v>
      </c>
      <c r="C12" s="711">
        <f>'Section 2 data country'!$K$10</f>
        <v>2.0144700000000002</v>
      </c>
      <c r="D12" s="712">
        <f>'Section 2 data country'!$L$10</f>
        <v>37.045209999999997</v>
      </c>
      <c r="E12" s="214">
        <f>'Section 2 data country'!$M$10</f>
        <v>2.93</v>
      </c>
      <c r="F12" s="713">
        <f t="shared" si="0"/>
        <v>39.05968</v>
      </c>
    </row>
    <row r="13" spans="2:6" ht="15" customHeight="1" x14ac:dyDescent="0.2">
      <c r="B13" s="710" t="s">
        <v>301</v>
      </c>
      <c r="C13" s="711">
        <f>'Section 2 data country'!$K$11</f>
        <v>0.63409000000000004</v>
      </c>
      <c r="D13" s="712">
        <f>'Section 2 data country'!$L$11</f>
        <v>23.61544</v>
      </c>
      <c r="E13" s="214">
        <f>'Section 2 data country'!$M$11</f>
        <v>17.37</v>
      </c>
      <c r="F13" s="713">
        <f t="shared" si="0"/>
        <v>24.24953</v>
      </c>
    </row>
    <row r="14" spans="2:6" ht="15" customHeight="1" x14ac:dyDescent="0.2">
      <c r="B14" s="710" t="s">
        <v>302</v>
      </c>
      <c r="C14" s="711">
        <f>'Section 2 data country'!$K$12</f>
        <v>0.50458000000000003</v>
      </c>
      <c r="D14" s="712">
        <f>'Section 2 data country'!$L$12</f>
        <v>29.561889999999998</v>
      </c>
      <c r="E14" s="214">
        <f>'Section 2 data country'!$M$12</f>
        <v>2.68</v>
      </c>
      <c r="F14" s="713">
        <f t="shared" si="0"/>
        <v>30.066469999999999</v>
      </c>
    </row>
    <row r="15" spans="2:6" ht="15" customHeight="1" x14ac:dyDescent="0.2">
      <c r="B15" s="710" t="s">
        <v>303</v>
      </c>
      <c r="C15" s="711">
        <f>'Section 2 data country'!$K$13</f>
        <v>2.83935</v>
      </c>
      <c r="D15" s="712">
        <f>'Section 2 data country'!$L$13</f>
        <v>83.496759999999995</v>
      </c>
      <c r="E15" s="214">
        <f>'Section 2 data country'!$M$13</f>
        <v>3.14</v>
      </c>
      <c r="F15" s="713">
        <f t="shared" si="0"/>
        <v>86.336109999999991</v>
      </c>
    </row>
    <row r="16" spans="2:6" ht="15" customHeight="1" x14ac:dyDescent="0.2">
      <c r="B16" s="710" t="s">
        <v>304</v>
      </c>
      <c r="C16" s="711">
        <f>'Section 2 data country'!$K$14</f>
        <v>5.6926099999999993</v>
      </c>
      <c r="D16" s="712">
        <f>'Section 2 data country'!$L$14</f>
        <v>33.064999999999998</v>
      </c>
      <c r="E16" s="214">
        <f>'Section 2 data country'!$M$14</f>
        <v>2.74</v>
      </c>
      <c r="F16" s="713">
        <f t="shared" si="0"/>
        <v>38.75761</v>
      </c>
    </row>
    <row r="17" spans="2:6" ht="15" customHeight="1" x14ac:dyDescent="0.2">
      <c r="B17" s="710" t="s">
        <v>291</v>
      </c>
      <c r="C17" s="711">
        <f>'Section 2 data country'!$K$15</f>
        <v>2.5495999999999999</v>
      </c>
      <c r="D17" s="712">
        <f>'Section 2 data country'!$L$15</f>
        <v>36.332360000000001</v>
      </c>
      <c r="E17" s="214">
        <f>'Section 2 data country'!$M$15</f>
        <v>4.5199999999999996</v>
      </c>
      <c r="F17" s="713">
        <f t="shared" si="0"/>
        <v>38.881959999999999</v>
      </c>
    </row>
    <row r="18" spans="2:6" ht="15" customHeight="1" x14ac:dyDescent="0.2">
      <c r="B18" s="710" t="s">
        <v>292</v>
      </c>
      <c r="C18" s="711">
        <f>'Section 2 data country'!$K$16</f>
        <v>13.469959999999999</v>
      </c>
      <c r="D18" s="712">
        <f>'Section 2 data country'!$L$16</f>
        <v>79.923190000000005</v>
      </c>
      <c r="E18" s="214">
        <f>'Section 2 data country'!$M$16</f>
        <v>1.91</v>
      </c>
      <c r="F18" s="713">
        <f t="shared" si="0"/>
        <v>93.393150000000006</v>
      </c>
    </row>
    <row r="19" spans="2:6" ht="15" customHeight="1" x14ac:dyDescent="0.2">
      <c r="B19" s="710" t="s">
        <v>293</v>
      </c>
      <c r="C19" s="711">
        <f>'Section 2 data country'!$K$17</f>
        <v>1.42235</v>
      </c>
      <c r="D19" s="712">
        <f>'Section 2 data country'!$L$17</f>
        <v>72.163589999999999</v>
      </c>
      <c r="E19" s="214">
        <f>'Section 2 data country'!$M$17</f>
        <v>1.51</v>
      </c>
      <c r="F19" s="713">
        <f t="shared" si="0"/>
        <v>73.585939999999994</v>
      </c>
    </row>
    <row r="20" spans="2:6" ht="15" customHeight="1" x14ac:dyDescent="0.2">
      <c r="B20" s="710" t="s">
        <v>294</v>
      </c>
      <c r="C20" s="711">
        <f>'Section 2 data country'!$K$18</f>
        <v>4.7088700000000001</v>
      </c>
      <c r="D20" s="712">
        <f>'Section 2 data country'!$L$18</f>
        <v>75.695740000000001</v>
      </c>
      <c r="E20" s="214">
        <f>'Section 2 data country'!$M$18</f>
        <v>2.08</v>
      </c>
      <c r="F20" s="713">
        <f t="shared" si="0"/>
        <v>80.404610000000005</v>
      </c>
    </row>
    <row r="21" spans="2:6" ht="15" customHeight="1" x14ac:dyDescent="0.2">
      <c r="B21" s="710" t="s">
        <v>295</v>
      </c>
      <c r="C21" s="711">
        <f>'Section 2 data country'!$K$19</f>
        <v>7.87758</v>
      </c>
      <c r="D21" s="712">
        <f>'Section 2 data country'!$L$19</f>
        <v>93.086910000000003</v>
      </c>
      <c r="E21" s="214">
        <f>'Section 2 data country'!$M$19</f>
        <v>1.87</v>
      </c>
      <c r="F21" s="713">
        <f t="shared" si="0"/>
        <v>100.96449</v>
      </c>
    </row>
    <row r="22" spans="2:6" ht="15" customHeight="1" x14ac:dyDescent="0.2">
      <c r="B22" s="714" t="s">
        <v>296</v>
      </c>
      <c r="C22" s="715">
        <f>'Section 2 data country'!$K$20</f>
        <v>2.9271400000000001</v>
      </c>
      <c r="D22" s="716">
        <f>'Section 2 data country'!$L$20</f>
        <v>66.428780000000003</v>
      </c>
      <c r="E22" s="717">
        <f>'Section 2 data country'!$M$20</f>
        <v>2.23</v>
      </c>
      <c r="F22" s="718">
        <f t="shared" si="0"/>
        <v>69.355919999999998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DFA021C-AE62-4BBE-837F-3B292DC3F587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3" operator="between" id="{E8BC716B-8612-4F5F-8DF4-03C4D91E1BCA}">
            <xm:f>Sheet1!$D$5</xm:f>
            <xm:f>Sheet1!$E$5</xm:f>
            <x14:dxf>
              <numFmt numFmtId="174" formatCode="&quot;&lt; 0.1&quot;"/>
            </x14:dxf>
          </x14:cfRule>
          <xm:sqref>C8:D22 F8:F22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2" max="12" width="11" bestFit="1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ht="13.5" thickBot="1" x14ac:dyDescent="0.25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x14ac:dyDescent="0.2">
      <c r="A3" s="278"/>
      <c r="B3" s="992" t="s">
        <v>610</v>
      </c>
      <c r="C3" s="993"/>
      <c r="D3" s="993"/>
      <c r="E3" s="993"/>
      <c r="F3" s="993"/>
      <c r="G3" s="993"/>
      <c r="H3" s="993"/>
      <c r="J3" s="994" t="s">
        <v>811</v>
      </c>
      <c r="K3" s="994" t="s">
        <v>812</v>
      </c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995"/>
      <c r="K4" s="995"/>
    </row>
    <row r="5" spans="1:19" s="23" customFormat="1" x14ac:dyDescent="0.2">
      <c r="A5" s="433"/>
      <c r="B5" s="441"/>
      <c r="C5" s="431" t="s">
        <v>106</v>
      </c>
      <c r="D5" s="432">
        <v>207905.27900000001</v>
      </c>
      <c r="E5" s="434">
        <v>1139545.4410000001</v>
      </c>
      <c r="F5" s="439">
        <v>1.2114807274468335</v>
      </c>
      <c r="G5" s="446">
        <f>E5*F5/100</f>
        <v>13805.373398214029</v>
      </c>
      <c r="H5" s="447">
        <f>SUM(D5,E5)</f>
        <v>1347450.7200000002</v>
      </c>
      <c r="I5" s="433"/>
      <c r="J5" s="893"/>
      <c r="K5" s="893"/>
    </row>
    <row r="6" spans="1:19" s="24" customFormat="1" x14ac:dyDescent="0.2">
      <c r="A6" s="435"/>
      <c r="B6" s="442"/>
      <c r="C6" s="431" t="s">
        <v>92</v>
      </c>
      <c r="D6" s="432">
        <v>149700.77499999999</v>
      </c>
      <c r="E6" s="434">
        <v>155504.29199999999</v>
      </c>
      <c r="F6" s="439">
        <v>2.9411401766810834</v>
      </c>
      <c r="G6" s="446">
        <f t="shared" ref="G6:G26" si="0">E6*F6/100</f>
        <v>4573.599208475468</v>
      </c>
      <c r="H6" s="447">
        <f>SUM(D6,E6)</f>
        <v>305205.06699999998</v>
      </c>
      <c r="I6" s="435"/>
      <c r="J6" s="894"/>
      <c r="K6" s="894"/>
    </row>
    <row r="7" spans="1:19" s="24" customFormat="1" x14ac:dyDescent="0.2">
      <c r="A7" s="435"/>
      <c r="B7" s="442"/>
      <c r="C7" s="431" t="s">
        <v>105</v>
      </c>
      <c r="D7" s="432">
        <v>58204.506999999998</v>
      </c>
      <c r="E7" s="434">
        <v>983274.19900000002</v>
      </c>
      <c r="F7" s="439">
        <v>1.365053762885452</v>
      </c>
      <c r="G7" s="446">
        <f>E7*F7/100</f>
        <v>13422.221452931286</v>
      </c>
      <c r="H7" s="447">
        <f>SUM(D7,E7)</f>
        <v>1041478.706</v>
      </c>
      <c r="I7" s="435"/>
      <c r="J7" s="894"/>
      <c r="K7" s="894"/>
    </row>
    <row r="8" spans="1:19" s="24" customFormat="1" x14ac:dyDescent="0.2">
      <c r="A8" s="435"/>
      <c r="B8" s="442"/>
      <c r="C8" s="431" t="s">
        <v>84</v>
      </c>
      <c r="D8" s="432">
        <v>73373.142999999996</v>
      </c>
      <c r="E8" s="436">
        <v>40212.336000000003</v>
      </c>
      <c r="F8" s="439">
        <v>8.7094134640449514</v>
      </c>
      <c r="G8" s="446">
        <f t="shared" si="0"/>
        <v>3502.2586057909953</v>
      </c>
      <c r="H8" s="447">
        <f>SUM(D8,E8)</f>
        <v>113585.47899999999</v>
      </c>
      <c r="I8" s="435"/>
      <c r="J8" s="895">
        <f>H8/$H$6</f>
        <v>0.37216118368047935</v>
      </c>
      <c r="K8" s="895">
        <f>H8/$H$5</f>
        <v>8.4296573755216792E-2</v>
      </c>
    </row>
    <row r="9" spans="1:19" s="24" customFormat="1" x14ac:dyDescent="0.2">
      <c r="A9" s="435"/>
      <c r="B9" s="442"/>
      <c r="C9" s="431" t="s">
        <v>85</v>
      </c>
      <c r="D9" s="432">
        <v>10148.477999999999</v>
      </c>
      <c r="E9" s="436">
        <v>31947.151999999998</v>
      </c>
      <c r="F9" s="439">
        <v>5.8113461951288841</v>
      </c>
      <c r="G9" s="446">
        <f t="shared" si="0"/>
        <v>1856.5596022040411</v>
      </c>
      <c r="H9" s="447">
        <f t="shared" ref="H9:H15" si="1">SUM(D9,E9)</f>
        <v>42095.63</v>
      </c>
      <c r="I9" s="435"/>
      <c r="J9" s="895">
        <f t="shared" ref="J9:J15" si="2">H9/$H$6</f>
        <v>0.13792572454244345</v>
      </c>
      <c r="K9" s="895">
        <f t="shared" ref="K9:K26" si="3">H9/$H$5</f>
        <v>3.1240942154826999E-2</v>
      </c>
    </row>
    <row r="10" spans="1:19" s="24" customFormat="1" x14ac:dyDescent="0.2">
      <c r="A10" s="435"/>
      <c r="B10" s="442"/>
      <c r="C10" s="431" t="s">
        <v>86</v>
      </c>
      <c r="D10" s="432">
        <v>29764.55</v>
      </c>
      <c r="E10" s="436">
        <v>11537.432000000001</v>
      </c>
      <c r="F10" s="439">
        <v>11.719536466412398</v>
      </c>
      <c r="G10" s="446">
        <f t="shared" si="0"/>
        <v>1352.1335505275333</v>
      </c>
      <c r="H10" s="447">
        <f t="shared" si="1"/>
        <v>41301.982000000004</v>
      </c>
      <c r="I10" s="435"/>
      <c r="J10" s="895">
        <f t="shared" si="2"/>
        <v>0.13532534831736592</v>
      </c>
      <c r="K10" s="895">
        <f t="shared" si="3"/>
        <v>3.0651942506661763E-2</v>
      </c>
    </row>
    <row r="11" spans="1:19" s="24" customFormat="1" x14ac:dyDescent="0.2">
      <c r="A11" s="435"/>
      <c r="B11" s="442"/>
      <c r="C11" s="431" t="s">
        <v>87</v>
      </c>
      <c r="D11" s="432">
        <v>5172.7420000000002</v>
      </c>
      <c r="E11" s="436">
        <v>19416.012999999999</v>
      </c>
      <c r="F11" s="439">
        <v>8.0276846566491109</v>
      </c>
      <c r="G11" s="446">
        <f t="shared" si="0"/>
        <v>1558.6562965339967</v>
      </c>
      <c r="H11" s="447">
        <f t="shared" si="1"/>
        <v>24588.754999999997</v>
      </c>
      <c r="I11" s="435"/>
      <c r="J11" s="895">
        <f t="shared" si="2"/>
        <v>8.0564701109631306E-2</v>
      </c>
      <c r="K11" s="895">
        <f t="shared" si="3"/>
        <v>1.8248351969413764E-2</v>
      </c>
    </row>
    <row r="12" spans="1:19" s="24" customFormat="1" x14ac:dyDescent="0.2">
      <c r="A12" s="435"/>
      <c r="B12" s="442"/>
      <c r="C12" s="431" t="s">
        <v>88</v>
      </c>
      <c r="D12" s="432">
        <v>10839.898999999999</v>
      </c>
      <c r="E12" s="436">
        <v>20891.810000000001</v>
      </c>
      <c r="F12" s="439">
        <v>5.8216449787865852</v>
      </c>
      <c r="G12" s="446">
        <f t="shared" si="0"/>
        <v>1216.2470078426338</v>
      </c>
      <c r="H12" s="447">
        <f t="shared" si="1"/>
        <v>31731.709000000003</v>
      </c>
      <c r="I12" s="435"/>
      <c r="J12" s="895">
        <f t="shared" si="2"/>
        <v>0.10396848686656963</v>
      </c>
      <c r="K12" s="895">
        <f t="shared" si="3"/>
        <v>2.3549439344245554E-2</v>
      </c>
    </row>
    <row r="13" spans="1:19" s="24" customFormat="1" x14ac:dyDescent="0.2">
      <c r="A13" s="435"/>
      <c r="B13" s="442"/>
      <c r="C13" s="431" t="s">
        <v>89</v>
      </c>
      <c r="D13" s="432">
        <v>7797.0690000000004</v>
      </c>
      <c r="E13" s="436">
        <v>10936.966</v>
      </c>
      <c r="F13" s="439">
        <v>11.217272903914631</v>
      </c>
      <c r="G13" s="446">
        <f t="shared" si="0"/>
        <v>1226.829323628356</v>
      </c>
      <c r="H13" s="447">
        <f t="shared" si="1"/>
        <v>18734.035</v>
      </c>
      <c r="I13" s="435"/>
      <c r="J13" s="895">
        <f t="shared" si="2"/>
        <v>6.1381795473271092E-2</v>
      </c>
      <c r="K13" s="895">
        <f t="shared" si="3"/>
        <v>1.3903317369558419E-2</v>
      </c>
    </row>
    <row r="14" spans="1:19" s="24" customFormat="1" x14ac:dyDescent="0.2">
      <c r="A14" s="435"/>
      <c r="B14" s="442"/>
      <c r="C14" s="431" t="s">
        <v>90</v>
      </c>
      <c r="D14" s="432">
        <v>8776.4750000000004</v>
      </c>
      <c r="E14" s="436">
        <v>4790.1580000000004</v>
      </c>
      <c r="F14" s="439">
        <v>18.953469383328226</v>
      </c>
      <c r="G14" s="446">
        <f t="shared" si="0"/>
        <v>907.90112994304775</v>
      </c>
      <c r="H14" s="447">
        <f t="shared" si="1"/>
        <v>13566.633000000002</v>
      </c>
      <c r="I14" s="435"/>
      <c r="J14" s="895">
        <f t="shared" si="2"/>
        <v>4.4450877350604413E-2</v>
      </c>
      <c r="K14" s="895">
        <f t="shared" si="3"/>
        <v>1.0068370441035498E-2</v>
      </c>
    </row>
    <row r="15" spans="1:19" s="24" customFormat="1" x14ac:dyDescent="0.2">
      <c r="A15" s="435"/>
      <c r="B15" s="442"/>
      <c r="C15" s="431" t="s">
        <v>91</v>
      </c>
      <c r="D15" s="432">
        <v>3828.4140000000002</v>
      </c>
      <c r="E15" s="436">
        <v>15248.785</v>
      </c>
      <c r="F15" s="439">
        <v>8.4824297165546323</v>
      </c>
      <c r="G15" s="446">
        <f t="shared" si="0"/>
        <v>1293.4674702535253</v>
      </c>
      <c r="H15" s="447">
        <f t="shared" si="1"/>
        <v>19077.199000000001</v>
      </c>
      <c r="I15" s="435"/>
      <c r="J15" s="896">
        <f t="shared" si="2"/>
        <v>6.2506167369757337E-2</v>
      </c>
      <c r="K15" s="895">
        <f t="shared" si="3"/>
        <v>1.4157993844850962E-2</v>
      </c>
    </row>
    <row r="16" spans="1:19" s="24" customFormat="1" x14ac:dyDescent="0.2">
      <c r="A16" s="435"/>
      <c r="B16" s="442"/>
      <c r="C16" s="431" t="s">
        <v>94</v>
      </c>
      <c r="D16" s="432">
        <v>16920.057000000001</v>
      </c>
      <c r="E16" s="436">
        <v>91445.638999999996</v>
      </c>
      <c r="F16" s="439">
        <v>3.4430090989665878</v>
      </c>
      <c r="G16" s="446">
        <f t="shared" si="0"/>
        <v>3148.4816713781388</v>
      </c>
      <c r="H16" s="447">
        <f t="shared" ref="H16:H26" si="4">SUM(D16,E16)</f>
        <v>108365.696</v>
      </c>
      <c r="I16" s="435"/>
      <c r="J16" s="895">
        <f>H16/$H$7</f>
        <v>0.10404984314676904</v>
      </c>
      <c r="K16" s="895">
        <f t="shared" si="3"/>
        <v>8.0422752677737991E-2</v>
      </c>
    </row>
    <row r="17" spans="1:18" s="24" customFormat="1" x14ac:dyDescent="0.2">
      <c r="A17" s="435"/>
      <c r="B17" s="442"/>
      <c r="C17" s="431" t="s">
        <v>95</v>
      </c>
      <c r="D17" s="432">
        <v>9518.2369999999992</v>
      </c>
      <c r="E17" s="436">
        <v>42774.487000000001</v>
      </c>
      <c r="F17" s="439">
        <v>5.3589641404740576</v>
      </c>
      <c r="G17" s="446">
        <f t="shared" si="0"/>
        <v>2292.2694196017374</v>
      </c>
      <c r="H17" s="447">
        <f t="shared" si="4"/>
        <v>52292.724000000002</v>
      </c>
      <c r="I17" s="435"/>
      <c r="J17" s="895">
        <f t="shared" ref="J17:J26" si="5">H17/$H$7</f>
        <v>5.0210075058414107E-2</v>
      </c>
      <c r="K17" s="895">
        <f t="shared" si="3"/>
        <v>3.8808635613775913E-2</v>
      </c>
    </row>
    <row r="18" spans="1:18" s="24" customFormat="1" x14ac:dyDescent="0.2">
      <c r="A18" s="435"/>
      <c r="B18" s="442"/>
      <c r="C18" s="431" t="s">
        <v>96</v>
      </c>
      <c r="D18" s="432">
        <v>871.38199999999995</v>
      </c>
      <c r="E18" s="436">
        <v>72688.47</v>
      </c>
      <c r="F18" s="439">
        <v>4.4283840010860152</v>
      </c>
      <c r="G18" s="446">
        <f t="shared" si="0"/>
        <v>3218.9245761142079</v>
      </c>
      <c r="H18" s="447">
        <f t="shared" si="4"/>
        <v>73559.851999999999</v>
      </c>
      <c r="I18" s="435"/>
      <c r="J18" s="895">
        <f t="shared" si="5"/>
        <v>7.0630202591967353E-2</v>
      </c>
      <c r="K18" s="895">
        <f t="shared" si="3"/>
        <v>5.4591868116705584E-2</v>
      </c>
    </row>
    <row r="19" spans="1:18" s="24" customFormat="1" x14ac:dyDescent="0.2">
      <c r="A19" s="435"/>
      <c r="B19" s="442"/>
      <c r="C19" s="431" t="s">
        <v>97</v>
      </c>
      <c r="D19" s="432">
        <v>3084.7159999999999</v>
      </c>
      <c r="E19" s="436">
        <v>112496.57399999999</v>
      </c>
      <c r="F19" s="439">
        <v>3.5417574645529024</v>
      </c>
      <c r="G19" s="446">
        <f t="shared" si="0"/>
        <v>3984.3558070112795</v>
      </c>
      <c r="H19" s="447">
        <f t="shared" si="4"/>
        <v>115581.29</v>
      </c>
      <c r="I19" s="435"/>
      <c r="J19" s="895">
        <f t="shared" si="5"/>
        <v>0.11097806353037427</v>
      </c>
      <c r="K19" s="895">
        <f t="shared" si="3"/>
        <v>8.5777749259728017E-2</v>
      </c>
    </row>
    <row r="20" spans="1:18" s="24" customFormat="1" x14ac:dyDescent="0.2">
      <c r="A20" s="435"/>
      <c r="B20" s="442"/>
      <c r="C20" s="431" t="s">
        <v>98</v>
      </c>
      <c r="D20" s="432">
        <v>8255.9120000000003</v>
      </c>
      <c r="E20" s="436">
        <v>118875.967</v>
      </c>
      <c r="F20" s="439">
        <v>4.0482338069904129</v>
      </c>
      <c r="G20" s="446">
        <f t="shared" si="0"/>
        <v>4812.3770844807677</v>
      </c>
      <c r="H20" s="447">
        <f t="shared" si="4"/>
        <v>127131.879</v>
      </c>
      <c r="I20" s="435"/>
      <c r="J20" s="895">
        <f t="shared" si="5"/>
        <v>0.12206863017706288</v>
      </c>
      <c r="K20" s="895">
        <f t="shared" si="3"/>
        <v>9.4349928433746344E-2</v>
      </c>
    </row>
    <row r="21" spans="1:18" s="24" customFormat="1" x14ac:dyDescent="0.2">
      <c r="A21" s="435"/>
      <c r="B21" s="442"/>
      <c r="C21" s="431" t="s">
        <v>99</v>
      </c>
      <c r="D21" s="432">
        <v>1347.2370000000001</v>
      </c>
      <c r="E21" s="436">
        <v>44683.402999999998</v>
      </c>
      <c r="F21" s="439">
        <v>10.125367505067075</v>
      </c>
      <c r="G21" s="446">
        <f t="shared" si="0"/>
        <v>4524.358767520167</v>
      </c>
      <c r="H21" s="447">
        <f t="shared" si="4"/>
        <v>46030.64</v>
      </c>
      <c r="I21" s="435"/>
      <c r="J21" s="895">
        <f t="shared" si="5"/>
        <v>4.4197389475959192E-2</v>
      </c>
      <c r="K21" s="895">
        <f t="shared" si="3"/>
        <v>3.4161279011376382E-2</v>
      </c>
    </row>
    <row r="22" spans="1:18" s="24" customFormat="1" x14ac:dyDescent="0.2">
      <c r="A22" s="435"/>
      <c r="B22" s="442"/>
      <c r="C22" s="431" t="s">
        <v>100</v>
      </c>
      <c r="D22" s="432">
        <v>805.13199999999995</v>
      </c>
      <c r="E22" s="436">
        <v>131601.37400000001</v>
      </c>
      <c r="F22" s="439">
        <v>4.1242187890665365</v>
      </c>
      <c r="G22" s="446">
        <f t="shared" si="0"/>
        <v>5427.5285931777244</v>
      </c>
      <c r="H22" s="447">
        <f t="shared" si="4"/>
        <v>132406.50600000002</v>
      </c>
      <c r="I22" s="435"/>
      <c r="J22" s="895">
        <f t="shared" si="5"/>
        <v>0.12713318595685241</v>
      </c>
      <c r="K22" s="895">
        <f t="shared" si="3"/>
        <v>9.8264451556343377E-2</v>
      </c>
    </row>
    <row r="23" spans="1:18" s="24" customFormat="1" x14ac:dyDescent="0.2">
      <c r="A23" s="435"/>
      <c r="B23" s="442"/>
      <c r="C23" s="431" t="s">
        <v>101</v>
      </c>
      <c r="D23" s="432">
        <v>4.6420000000000003</v>
      </c>
      <c r="E23" s="436">
        <v>94656.705000000002</v>
      </c>
      <c r="F23" s="439">
        <v>5.8354607652525052</v>
      </c>
      <c r="G23" s="446">
        <f t="shared" si="0"/>
        <v>5523.6548819558066</v>
      </c>
      <c r="H23" s="447">
        <f t="shared" si="4"/>
        <v>94661.347000000009</v>
      </c>
      <c r="I23" s="435"/>
      <c r="J23" s="895">
        <f t="shared" si="5"/>
        <v>9.0891293748640509E-2</v>
      </c>
      <c r="K23" s="895">
        <f t="shared" si="3"/>
        <v>7.0252177385752554E-2</v>
      </c>
    </row>
    <row r="24" spans="1:18" s="24" customFormat="1" x14ac:dyDescent="0.2">
      <c r="A24" s="435"/>
      <c r="B24" s="442"/>
      <c r="C24" s="431" t="s">
        <v>102</v>
      </c>
      <c r="D24" s="432">
        <v>711.93899999999996</v>
      </c>
      <c r="E24" s="436">
        <v>34164.862999999998</v>
      </c>
      <c r="F24" s="439">
        <v>7.440037227492212</v>
      </c>
      <c r="G24" s="446">
        <f t="shared" si="0"/>
        <v>2541.8785259217125</v>
      </c>
      <c r="H24" s="447">
        <f t="shared" si="4"/>
        <v>34876.801999999996</v>
      </c>
      <c r="I24" s="435"/>
      <c r="J24" s="895">
        <f t="shared" si="5"/>
        <v>3.3487772528687683E-2</v>
      </c>
      <c r="K24" s="895">
        <f t="shared" si="3"/>
        <v>2.5883545485062335E-2</v>
      </c>
    </row>
    <row r="25" spans="1:18" s="24" customFormat="1" x14ac:dyDescent="0.2">
      <c r="A25" s="435"/>
      <c r="B25" s="442"/>
      <c r="C25" s="431" t="s">
        <v>103</v>
      </c>
      <c r="D25" s="432">
        <v>30.611000000000001</v>
      </c>
      <c r="E25" s="436">
        <v>63824.504999999997</v>
      </c>
      <c r="F25" s="439">
        <v>6.8441795812850428</v>
      </c>
      <c r="G25" s="446">
        <f t="shared" si="0"/>
        <v>4368.2637390662512</v>
      </c>
      <c r="H25" s="447">
        <f t="shared" si="4"/>
        <v>63855.115999999995</v>
      </c>
      <c r="I25" s="435"/>
      <c r="J25" s="895">
        <f t="shared" si="5"/>
        <v>6.1311974630041059E-2</v>
      </c>
      <c r="K25" s="895">
        <f t="shared" si="3"/>
        <v>4.7389574291815277E-2</v>
      </c>
    </row>
    <row r="26" spans="1:18" s="24" customFormat="1" ht="13.5" thickBot="1" x14ac:dyDescent="0.25">
      <c r="A26" s="435"/>
      <c r="B26" s="297"/>
      <c r="C26" s="437" t="s">
        <v>104</v>
      </c>
      <c r="D26" s="440">
        <v>16654.641</v>
      </c>
      <c r="E26" s="440">
        <v>176013.75</v>
      </c>
      <c r="F26" s="438">
        <v>3.3857359015930735</v>
      </c>
      <c r="G26" s="336">
        <f t="shared" si="0"/>
        <v>5959.3607254902781</v>
      </c>
      <c r="H26" s="344">
        <f t="shared" si="4"/>
        <v>192668.391</v>
      </c>
      <c r="I26" s="435"/>
      <c r="J26" s="897">
        <f t="shared" si="5"/>
        <v>0.18499503627873501</v>
      </c>
      <c r="K26" s="897">
        <f t="shared" si="3"/>
        <v>0.14298733759999771</v>
      </c>
    </row>
    <row r="27" spans="1:18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8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  <row r="29" spans="1:18" s="24" customFormat="1" x14ac:dyDescent="0.2">
      <c r="B29" s="992" t="s">
        <v>610</v>
      </c>
      <c r="C29" s="993"/>
      <c r="D29" s="993"/>
      <c r="E29" s="993"/>
      <c r="F29" s="993"/>
      <c r="G29" s="993"/>
      <c r="H29" s="993"/>
    </row>
    <row r="30" spans="1:18" s="24" customFormat="1" x14ac:dyDescent="0.2">
      <c r="B30" s="286"/>
      <c r="C30" s="286" t="s">
        <v>709</v>
      </c>
      <c r="D30" s="445" t="s">
        <v>78</v>
      </c>
      <c r="E30" s="445" t="s">
        <v>309</v>
      </c>
      <c r="F30" s="445" t="s">
        <v>82</v>
      </c>
      <c r="G30" s="445" t="s">
        <v>310</v>
      </c>
      <c r="H30" s="445" t="s">
        <v>486</v>
      </c>
    </row>
    <row r="31" spans="1:18" s="23" customFormat="1" x14ac:dyDescent="0.2">
      <c r="B31" s="441" t="s">
        <v>92</v>
      </c>
      <c r="C31" s="431" t="s">
        <v>119</v>
      </c>
      <c r="D31" s="432">
        <v>1570.7909999999999</v>
      </c>
      <c r="E31" s="434">
        <v>464.90600000000001</v>
      </c>
      <c r="F31" s="439">
        <v>49.555142484036594</v>
      </c>
      <c r="G31" s="446">
        <f>E31*F31/100</f>
        <v>230.38483071683515</v>
      </c>
      <c r="H31" s="447">
        <f>SUM(D31,E31)</f>
        <v>2035.6969999999999</v>
      </c>
      <c r="K31" t="s">
        <v>379</v>
      </c>
      <c r="L31" t="s">
        <v>611</v>
      </c>
      <c r="M31" t="s">
        <v>612</v>
      </c>
      <c r="N31" t="s">
        <v>613</v>
      </c>
      <c r="O31" t="s">
        <v>614</v>
      </c>
      <c r="P31" t="s">
        <v>613</v>
      </c>
      <c r="Q31" t="s">
        <v>615</v>
      </c>
      <c r="R31" t="s">
        <v>613</v>
      </c>
    </row>
    <row r="32" spans="1:18" s="23" customFormat="1" x14ac:dyDescent="0.2">
      <c r="B32" s="441"/>
      <c r="C32" s="431" t="s">
        <v>120</v>
      </c>
      <c r="D32" s="432">
        <v>32819.542000000001</v>
      </c>
      <c r="E32" s="434">
        <v>18963.661</v>
      </c>
      <c r="F32" s="439">
        <v>12.75821986842913</v>
      </c>
      <c r="G32" s="446">
        <f t="shared" ref="G32:G37" si="6">E32*F32/100</f>
        <v>2419.4255654835461</v>
      </c>
      <c r="H32" s="447">
        <f t="shared" ref="H32:H37" si="7">SUM(D32,E32)</f>
        <v>51783.203000000001</v>
      </c>
      <c r="K32">
        <v>2012</v>
      </c>
      <c r="L32" t="s">
        <v>616</v>
      </c>
      <c r="M32" s="540">
        <v>584442</v>
      </c>
      <c r="N32" s="540">
        <v>48.37</v>
      </c>
      <c r="O32" s="540">
        <v>100357</v>
      </c>
      <c r="P32" s="540">
        <v>89.53</v>
      </c>
      <c r="Q32" s="540">
        <v>480156</v>
      </c>
      <c r="R32" s="540">
        <v>55.59</v>
      </c>
    </row>
    <row r="33" spans="2:18" s="23" customFormat="1" x14ac:dyDescent="0.2">
      <c r="B33" s="441"/>
      <c r="C33" s="431" t="s">
        <v>121</v>
      </c>
      <c r="D33" s="432">
        <v>66164.327000000005</v>
      </c>
      <c r="E33" s="434">
        <v>72524.138000000006</v>
      </c>
      <c r="F33" s="439">
        <v>5.7523005222963333</v>
      </c>
      <c r="G33" s="446">
        <f t="shared" si="6"/>
        <v>4171.8063689649143</v>
      </c>
      <c r="H33" s="447">
        <f t="shared" si="7"/>
        <v>138688.46500000003</v>
      </c>
      <c r="K33"/>
      <c r="L33" t="s">
        <v>617</v>
      </c>
      <c r="M33" s="540">
        <v>15221406</v>
      </c>
      <c r="N33" s="540">
        <v>11.95</v>
      </c>
      <c r="O33" s="540">
        <v>1987672</v>
      </c>
      <c r="P33" s="540">
        <v>42.18</v>
      </c>
      <c r="Q33" s="540">
        <v>13223295</v>
      </c>
      <c r="R33" s="540">
        <v>12.25</v>
      </c>
    </row>
    <row r="34" spans="2:18" s="23" customFormat="1" x14ac:dyDescent="0.2">
      <c r="B34" s="441"/>
      <c r="C34" s="431" t="s">
        <v>122</v>
      </c>
      <c r="D34" s="432">
        <v>39573.519</v>
      </c>
      <c r="E34" s="434">
        <v>53189.896999999997</v>
      </c>
      <c r="F34" s="439">
        <v>4.3251854462703019</v>
      </c>
      <c r="G34" s="446">
        <f t="shared" si="6"/>
        <v>2300.5616839301638</v>
      </c>
      <c r="H34" s="447">
        <f t="shared" si="7"/>
        <v>92763.415999999997</v>
      </c>
      <c r="K34"/>
      <c r="L34" s="450" t="s">
        <v>618</v>
      </c>
      <c r="M34" s="541">
        <v>15598040</v>
      </c>
      <c r="N34" s="541">
        <v>13.1</v>
      </c>
      <c r="O34" s="541">
        <v>5595559</v>
      </c>
      <c r="P34" s="541">
        <v>23.4</v>
      </c>
      <c r="Q34" s="541">
        <v>10055821</v>
      </c>
      <c r="R34" s="541">
        <v>15.35</v>
      </c>
    </row>
    <row r="35" spans="2:18" s="23" customFormat="1" x14ac:dyDescent="0.2">
      <c r="B35" s="441"/>
      <c r="C35" s="431" t="s">
        <v>123</v>
      </c>
      <c r="D35" s="432">
        <v>7275.45</v>
      </c>
      <c r="E35" s="434">
        <v>8419.8790000000008</v>
      </c>
      <c r="F35" s="439">
        <v>9.5913849863771805</v>
      </c>
      <c r="G35" s="446">
        <f t="shared" si="6"/>
        <v>807.58301027712514</v>
      </c>
      <c r="H35" s="447">
        <f t="shared" si="7"/>
        <v>15695.329000000002</v>
      </c>
      <c r="K35"/>
      <c r="L35" s="450" t="s">
        <v>619</v>
      </c>
      <c r="M35" s="541">
        <v>10405972</v>
      </c>
      <c r="N35" s="541">
        <v>12.55</v>
      </c>
      <c r="O35" s="541">
        <v>3513849</v>
      </c>
      <c r="P35" s="541">
        <v>22.82</v>
      </c>
      <c r="Q35" s="541">
        <v>6886650</v>
      </c>
      <c r="R35" s="541">
        <v>13.92</v>
      </c>
    </row>
    <row r="36" spans="2:18" s="23" customFormat="1" x14ac:dyDescent="0.2">
      <c r="B36" s="441"/>
      <c r="C36" s="431" t="s">
        <v>124</v>
      </c>
      <c r="D36" s="432">
        <v>1522.104</v>
      </c>
      <c r="E36" s="434">
        <v>1184.269</v>
      </c>
      <c r="F36" s="439">
        <v>24.997896315120531</v>
      </c>
      <c r="G36" s="446">
        <f t="shared" si="6"/>
        <v>296.04233671211477</v>
      </c>
      <c r="H36" s="447">
        <f t="shared" si="7"/>
        <v>2706.373</v>
      </c>
      <c r="K36"/>
      <c r="L36" s="451" t="s">
        <v>620</v>
      </c>
      <c r="M36" s="542">
        <v>7879159</v>
      </c>
      <c r="N36" s="542">
        <v>13.25</v>
      </c>
      <c r="O36" s="542">
        <v>3881462</v>
      </c>
      <c r="P36" s="542">
        <v>17.53</v>
      </c>
      <c r="Q36" s="542">
        <v>3928545</v>
      </c>
      <c r="R36" s="542">
        <v>19.670000000000002</v>
      </c>
    </row>
    <row r="37" spans="2:18" s="23" customFormat="1" x14ac:dyDescent="0.2">
      <c r="B37" s="441"/>
      <c r="C37" s="431" t="s">
        <v>125</v>
      </c>
      <c r="D37" s="432">
        <v>394.30900000000003</v>
      </c>
      <c r="E37" s="434">
        <v>757.54</v>
      </c>
      <c r="F37" s="439">
        <v>20.748862954640153</v>
      </c>
      <c r="G37" s="446">
        <f t="shared" si="6"/>
        <v>157.18093642658101</v>
      </c>
      <c r="H37" s="447">
        <f t="shared" si="7"/>
        <v>1151.8489999999999</v>
      </c>
      <c r="K37"/>
      <c r="L37" s="451" t="s">
        <v>621</v>
      </c>
      <c r="M37" s="542">
        <v>4420733</v>
      </c>
      <c r="N37" s="542">
        <v>18.02</v>
      </c>
      <c r="O37" s="542">
        <v>1810333</v>
      </c>
      <c r="P37" s="542">
        <v>24.07</v>
      </c>
      <c r="Q37" s="542">
        <v>2586802</v>
      </c>
      <c r="R37" s="542">
        <v>25.63</v>
      </c>
    </row>
    <row r="38" spans="2:18" s="23" customFormat="1" x14ac:dyDescent="0.2">
      <c r="B38" s="441"/>
      <c r="C38" s="431"/>
      <c r="D38" s="432"/>
      <c r="E38" s="434"/>
      <c r="F38" s="439"/>
      <c r="G38" s="448"/>
      <c r="H38" s="449"/>
      <c r="K38"/>
      <c r="L38" t="s">
        <v>622</v>
      </c>
      <c r="M38" s="540">
        <v>5001144</v>
      </c>
      <c r="N38" s="540">
        <v>13.92</v>
      </c>
      <c r="O38" s="540">
        <v>573198</v>
      </c>
      <c r="P38" s="540">
        <v>31.22</v>
      </c>
      <c r="Q38" s="540">
        <v>4410375</v>
      </c>
      <c r="R38" s="540">
        <v>15.28</v>
      </c>
    </row>
    <row r="39" spans="2:18" s="23" customFormat="1" x14ac:dyDescent="0.2">
      <c r="B39" s="441" t="s">
        <v>105</v>
      </c>
      <c r="C39" s="431" t="s">
        <v>119</v>
      </c>
      <c r="D39" s="432">
        <v>164.5</v>
      </c>
      <c r="E39" s="434">
        <v>15852.424999999999</v>
      </c>
      <c r="F39" s="439">
        <v>9.2813053183070569</v>
      </c>
      <c r="G39" s="446">
        <f>E39*F39/100</f>
        <v>1471.3119646056375</v>
      </c>
      <c r="H39" s="447">
        <f>SUM(D39,E39)</f>
        <v>16016.924999999999</v>
      </c>
      <c r="K39"/>
      <c r="L39" t="s">
        <v>623</v>
      </c>
      <c r="M39" s="540">
        <v>2877258</v>
      </c>
      <c r="N39" s="540">
        <v>16.87</v>
      </c>
      <c r="O39" s="540">
        <v>16683</v>
      </c>
      <c r="P39" s="540">
        <v>49.31</v>
      </c>
      <c r="Q39" s="540">
        <v>2852232</v>
      </c>
      <c r="R39" s="540">
        <v>16.899999999999999</v>
      </c>
    </row>
    <row r="40" spans="2:18" s="23" customFormat="1" x14ac:dyDescent="0.2">
      <c r="B40" s="441"/>
      <c r="C40" s="431" t="s">
        <v>120</v>
      </c>
      <c r="D40" s="432">
        <v>7362.616</v>
      </c>
      <c r="E40" s="434">
        <v>254704.72899999999</v>
      </c>
      <c r="F40" s="439">
        <v>3.2718568514622395</v>
      </c>
      <c r="G40" s="446">
        <f t="shared" ref="G40:G45" si="8">E40*F40/100</f>
        <v>8333.5741267848298</v>
      </c>
      <c r="H40" s="447">
        <f t="shared" ref="H40:H45" si="9">SUM(D40,E40)</f>
        <v>262067.345</v>
      </c>
      <c r="K40"/>
      <c r="L40" s="450" t="s">
        <v>624</v>
      </c>
      <c r="M40" s="541">
        <v>447111</v>
      </c>
      <c r="N40" s="541">
        <v>27.43</v>
      </c>
      <c r="O40" s="541">
        <v>0</v>
      </c>
      <c r="P40" s="541">
        <v>0</v>
      </c>
      <c r="Q40" s="541">
        <v>446501</v>
      </c>
      <c r="R40" s="541">
        <v>27.43</v>
      </c>
    </row>
    <row r="41" spans="2:18" s="23" customFormat="1" x14ac:dyDescent="0.2">
      <c r="B41" s="441"/>
      <c r="C41" s="431" t="s">
        <v>121</v>
      </c>
      <c r="D41" s="432">
        <v>15450.704</v>
      </c>
      <c r="E41" s="434">
        <v>430062.75</v>
      </c>
      <c r="F41" s="439">
        <v>2.5178457019710927</v>
      </c>
      <c r="G41" s="446">
        <f t="shared" si="8"/>
        <v>10828.316466653685</v>
      </c>
      <c r="H41" s="447">
        <f t="shared" si="9"/>
        <v>445513.45400000003</v>
      </c>
      <c r="K41"/>
      <c r="L41" s="450" t="s">
        <v>625</v>
      </c>
      <c r="M41" s="541">
        <v>112153</v>
      </c>
      <c r="N41" s="541">
        <v>60.65</v>
      </c>
      <c r="O41" s="541">
        <v>0</v>
      </c>
      <c r="P41" s="541">
        <v>0</v>
      </c>
      <c r="Q41" s="541">
        <v>112153</v>
      </c>
      <c r="R41" s="541">
        <v>60.65</v>
      </c>
    </row>
    <row r="42" spans="2:18" s="23" customFormat="1" x14ac:dyDescent="0.2">
      <c r="B42" s="441"/>
      <c r="C42" s="431" t="s">
        <v>122</v>
      </c>
      <c r="D42" s="432">
        <v>13815.743999999999</v>
      </c>
      <c r="E42" s="434">
        <v>136646.72399999999</v>
      </c>
      <c r="F42" s="439">
        <v>3.6567731015278633</v>
      </c>
      <c r="G42" s="446">
        <f t="shared" si="8"/>
        <v>4996.860647351019</v>
      </c>
      <c r="H42" s="447">
        <f t="shared" si="9"/>
        <v>150462.46799999999</v>
      </c>
      <c r="K42"/>
      <c r="L42" s="450" t="s">
        <v>626</v>
      </c>
      <c r="M42" s="541">
        <v>29923</v>
      </c>
      <c r="N42" s="541">
        <v>72.42</v>
      </c>
      <c r="O42" s="541">
        <v>0</v>
      </c>
      <c r="P42" s="541">
        <v>0</v>
      </c>
      <c r="Q42" s="541">
        <v>29756</v>
      </c>
      <c r="R42" s="541">
        <v>72.59</v>
      </c>
    </row>
    <row r="43" spans="2:18" s="23" customFormat="1" x14ac:dyDescent="0.2">
      <c r="B43" s="441"/>
      <c r="C43" s="431" t="s">
        <v>123</v>
      </c>
      <c r="D43" s="432">
        <v>9377.83</v>
      </c>
      <c r="E43" s="434">
        <v>79390.209000000003</v>
      </c>
      <c r="F43" s="439">
        <v>5.0270050490063731</v>
      </c>
      <c r="G43" s="446">
        <f t="shared" si="8"/>
        <v>3990.9498148467123</v>
      </c>
      <c r="H43" s="447">
        <f t="shared" si="9"/>
        <v>88768.039000000004</v>
      </c>
    </row>
    <row r="44" spans="2:18" s="23" customFormat="1" x14ac:dyDescent="0.2">
      <c r="B44" s="441"/>
      <c r="C44" s="431" t="s">
        <v>124</v>
      </c>
      <c r="D44" s="432">
        <v>2774.6419999999998</v>
      </c>
      <c r="E44" s="434">
        <v>42247.735000000001</v>
      </c>
      <c r="F44" s="439">
        <v>6.4785578495440994</v>
      </c>
      <c r="G44" s="446">
        <f t="shared" si="8"/>
        <v>2737.0439520970899</v>
      </c>
      <c r="H44" s="447">
        <f t="shared" si="9"/>
        <v>45022.377</v>
      </c>
      <c r="L44" s="431" t="s">
        <v>121</v>
      </c>
      <c r="M44" s="346">
        <f>SUM(M34:M35)</f>
        <v>26004012</v>
      </c>
      <c r="N44" s="543">
        <f>IF(SUM(M34:M35)=0,0,SQRT(SUMSQ(M34*N34,M35*N35))/SUM(M34:M35))</f>
        <v>9.3255876797856665</v>
      </c>
      <c r="O44" s="346">
        <f>SUM(O34:O35)</f>
        <v>9109408</v>
      </c>
      <c r="P44" s="543">
        <f>IF(SUM(O34:O35)=0,0,SQRT(SUMSQ(O34*P34,O35*P35))/SUM(O34:O35))</f>
        <v>16.854932327081041</v>
      </c>
      <c r="Q44" s="346">
        <f>SUM(Q34:Q35)</f>
        <v>16942471</v>
      </c>
      <c r="R44" s="543">
        <f>IF(SUM(Q34:Q35)=0,0,SQRT(SUMSQ(Q34*R34,Q35*R35))/SUM(Q34:Q35))</f>
        <v>10.724641926803926</v>
      </c>
    </row>
    <row r="45" spans="2:18" s="23" customFormat="1" x14ac:dyDescent="0.2">
      <c r="B45" s="441"/>
      <c r="C45" s="431" t="s">
        <v>125</v>
      </c>
      <c r="D45" s="432">
        <v>8597.0780000000013</v>
      </c>
      <c r="E45" s="434">
        <v>24369.628000000001</v>
      </c>
      <c r="F45" s="439">
        <v>7.971385584575458</v>
      </c>
      <c r="G45" s="446">
        <f t="shared" si="8"/>
        <v>1942.5970134066645</v>
      </c>
      <c r="H45" s="447">
        <f t="shared" si="9"/>
        <v>32966.706000000006</v>
      </c>
      <c r="L45" s="431" t="s">
        <v>122</v>
      </c>
      <c r="M45" s="346">
        <f>SUM(M36:M37)</f>
        <v>12299892</v>
      </c>
      <c r="N45" s="543">
        <f>IF(SUM(M36:M37)=0,0,SQRT(SUMSQ(M36*N36,M37*N37))/SUM(M36:M37))</f>
        <v>10.676563185402117</v>
      </c>
      <c r="O45" s="346">
        <f>SUM(O36:O37)</f>
        <v>5691795</v>
      </c>
      <c r="P45" s="543">
        <f>IF(SUM(O36:O37)=0,0,SQRT(SUMSQ(O36*P36,O37*P37))/SUM(O36:O37))</f>
        <v>14.1956921686609</v>
      </c>
      <c r="Q45" s="346">
        <f>SUM(Q36:Q37)</f>
        <v>6515347</v>
      </c>
      <c r="R45" s="543">
        <f>IF(SUM(Q36:Q37)=0,0,SQRT(SUMSQ(Q36*R36,Q37*R37))/SUM(Q36:Q37))</f>
        <v>15.62748181835803</v>
      </c>
    </row>
    <row r="46" spans="2:18" s="23" customFormat="1" x14ac:dyDescent="0.2">
      <c r="B46" s="441"/>
      <c r="C46" s="431"/>
      <c r="D46" s="432"/>
      <c r="E46" s="434"/>
      <c r="F46" s="439"/>
      <c r="G46" s="448"/>
      <c r="H46" s="449"/>
      <c r="L46" s="431" t="s">
        <v>125</v>
      </c>
      <c r="M46" s="346">
        <f>SUM(M40:M42)</f>
        <v>589187</v>
      </c>
      <c r="N46" s="543">
        <f>IF(SUM(M40:M42)=0,0,SQRT(SUMSQ(M40*N40,M41*N41,M42*N42))/SUM(M40:M42))</f>
        <v>24.085237706867296</v>
      </c>
      <c r="O46" s="346">
        <f>SUM(O40:O42)</f>
        <v>0</v>
      </c>
      <c r="P46" s="543">
        <f>IF(SUM(O40:O42)=0,0,SQRT(SUMSQ(O40*P40,O41*P41,O42*P42))/SUM(O40:O42))</f>
        <v>0</v>
      </c>
      <c r="Q46" s="346">
        <f>SUM(Q40:Q42)</f>
        <v>588410</v>
      </c>
      <c r="R46" s="543">
        <f>IF(SUM(Q40:Q42)=0,0,SQRT(SUMSQ(Q40*R40,Q41*R41,Q42*R42))/SUM(Q40:Q42))</f>
        <v>24.090645730511607</v>
      </c>
    </row>
    <row r="47" spans="2:18" s="23" customFormat="1" x14ac:dyDescent="0.2">
      <c r="B47" s="441" t="s">
        <v>106</v>
      </c>
      <c r="C47" s="431" t="s">
        <v>119</v>
      </c>
      <c r="D47" s="432">
        <v>1735.2929999999999</v>
      </c>
      <c r="E47" s="434">
        <v>16334.898999999999</v>
      </c>
      <c r="F47" s="439">
        <v>9.1810652985576802</v>
      </c>
      <c r="G47" s="446">
        <f>E47*F47/100</f>
        <v>1499.7177436434454</v>
      </c>
      <c r="H47" s="447">
        <f>SUM(D47,E47)</f>
        <v>18070.191999999999</v>
      </c>
    </row>
    <row r="48" spans="2:18" s="23" customFormat="1" x14ac:dyDescent="0.2">
      <c r="B48" s="441"/>
      <c r="C48" s="431" t="s">
        <v>120</v>
      </c>
      <c r="D48" s="432">
        <v>40182.158000000003</v>
      </c>
      <c r="E48" s="434">
        <v>273824.38699999999</v>
      </c>
      <c r="F48" s="439">
        <v>3.1626896183725535</v>
      </c>
      <c r="G48" s="446">
        <f t="shared" ref="G48:G53" si="10">E48*F48/100</f>
        <v>8660.2154602212831</v>
      </c>
      <c r="H48" s="447">
        <f t="shared" ref="H48:H53" si="11">SUM(D48,E48)</f>
        <v>314006.54499999998</v>
      </c>
    </row>
    <row r="49" spans="2:8" s="23" customFormat="1" x14ac:dyDescent="0.2">
      <c r="B49" s="441"/>
      <c r="C49" s="431" t="s">
        <v>121</v>
      </c>
      <c r="D49" s="432">
        <v>81615.036999999997</v>
      </c>
      <c r="E49" s="434">
        <v>503337.07199999999</v>
      </c>
      <c r="F49" s="439">
        <v>2.345124249373217</v>
      </c>
      <c r="G49" s="446">
        <f t="shared" si="10"/>
        <v>11803.879731557126</v>
      </c>
      <c r="H49" s="447">
        <f t="shared" si="11"/>
        <v>584952.10899999994</v>
      </c>
    </row>
    <row r="50" spans="2:8" s="23" customFormat="1" x14ac:dyDescent="0.2">
      <c r="B50" s="441"/>
      <c r="C50" s="431" t="s">
        <v>122</v>
      </c>
      <c r="D50" s="432">
        <v>53389.263000000006</v>
      </c>
      <c r="E50" s="434">
        <v>189506.24900000001</v>
      </c>
      <c r="F50" s="439">
        <v>2.9232475906409414</v>
      </c>
      <c r="G50" s="446">
        <f t="shared" si="10"/>
        <v>5539.736858006524</v>
      </c>
      <c r="H50" s="447">
        <f t="shared" si="11"/>
        <v>242895.51200000002</v>
      </c>
    </row>
    <row r="51" spans="2:8" s="23" customFormat="1" x14ac:dyDescent="0.2">
      <c r="B51" s="441"/>
      <c r="C51" s="431" t="s">
        <v>123</v>
      </c>
      <c r="D51" s="432">
        <v>16653.277999999998</v>
      </c>
      <c r="E51" s="434">
        <v>87922.754000000001</v>
      </c>
      <c r="F51" s="439">
        <v>4.6386711126476303</v>
      </c>
      <c r="G51" s="446">
        <f t="shared" si="10"/>
        <v>4078.4473912422386</v>
      </c>
      <c r="H51" s="447">
        <f t="shared" si="11"/>
        <v>104576.03200000001</v>
      </c>
    </row>
    <row r="52" spans="2:8" s="23" customFormat="1" x14ac:dyDescent="0.2">
      <c r="B52" s="441"/>
      <c r="C52" s="431" t="s">
        <v>124</v>
      </c>
      <c r="D52" s="432">
        <v>4296.7449999999999</v>
      </c>
      <c r="E52" s="434">
        <v>43488.453999999998</v>
      </c>
      <c r="F52" s="439">
        <v>6.3452049724290678</v>
      </c>
      <c r="G52" s="446">
        <f t="shared" si="10"/>
        <v>2759.4315456405275</v>
      </c>
      <c r="H52" s="447">
        <f t="shared" si="11"/>
        <v>47785.199000000001</v>
      </c>
    </row>
    <row r="53" spans="2:8" s="23" customFormat="1" ht="13.5" thickBot="1" x14ac:dyDescent="0.25">
      <c r="B53" s="297"/>
      <c r="C53" s="437" t="s">
        <v>125</v>
      </c>
      <c r="D53" s="440">
        <v>8991.3860000000004</v>
      </c>
      <c r="E53" s="440">
        <v>25131.621999999999</v>
      </c>
      <c r="F53" s="438">
        <v>7.77982282638978</v>
      </c>
      <c r="G53" s="336">
        <f t="shared" si="10"/>
        <v>1955.1956649979957</v>
      </c>
      <c r="H53" s="344">
        <f t="shared" si="11"/>
        <v>34123.008000000002</v>
      </c>
    </row>
    <row r="54" spans="2:8" s="23" customFormat="1" x14ac:dyDescent="0.2">
      <c r="C54" s="24"/>
      <c r="D54" s="276"/>
      <c r="E54" s="276"/>
      <c r="F54" s="24"/>
      <c r="G54" s="24"/>
    </row>
    <row r="55" spans="2:8" s="23" customFormat="1" x14ac:dyDescent="0.2"/>
    <row r="56" spans="2:8" s="23" customFormat="1" x14ac:dyDescent="0.2">
      <c r="B56" s="992" t="s">
        <v>610</v>
      </c>
      <c r="C56" s="993"/>
      <c r="D56" s="993"/>
      <c r="E56" s="993"/>
      <c r="F56" s="993"/>
      <c r="G56" s="993"/>
      <c r="H56" s="993"/>
    </row>
    <row r="57" spans="2:8" s="23" customFormat="1" ht="25.5" x14ac:dyDescent="0.2">
      <c r="B57" s="286"/>
      <c r="C57" s="539" t="s">
        <v>710</v>
      </c>
      <c r="D57" s="445" t="s">
        <v>78</v>
      </c>
      <c r="E57" s="445" t="s">
        <v>309</v>
      </c>
      <c r="F57" s="445" t="s">
        <v>82</v>
      </c>
      <c r="G57" s="445" t="s">
        <v>310</v>
      </c>
      <c r="H57" s="445" t="s">
        <v>486</v>
      </c>
    </row>
    <row r="58" spans="2:8" s="23" customFormat="1" x14ac:dyDescent="0.2">
      <c r="B58" s="441" t="s">
        <v>92</v>
      </c>
      <c r="C58" s="431" t="s">
        <v>127</v>
      </c>
      <c r="D58" s="432">
        <v>870.51800000000003</v>
      </c>
      <c r="E58" s="434">
        <v>1344.8910000000001</v>
      </c>
      <c r="F58" s="439">
        <v>32.306003937629207</v>
      </c>
      <c r="G58" s="446">
        <f>E58*F58/100</f>
        <v>434.48053941682082</v>
      </c>
      <c r="H58" s="447">
        <f t="shared" ref="H58:H86" si="12">SUM(D58,E58)</f>
        <v>2215.4090000000001</v>
      </c>
    </row>
    <row r="59" spans="2:8" s="23" customFormat="1" x14ac:dyDescent="0.2">
      <c r="B59" s="441"/>
      <c r="C59" s="431" t="s">
        <v>128</v>
      </c>
      <c r="D59" s="432">
        <v>16259.281999999999</v>
      </c>
      <c r="E59" s="434">
        <v>16547.439999999999</v>
      </c>
      <c r="F59" s="439">
        <v>13.334860494512782</v>
      </c>
      <c r="G59" s="446">
        <f t="shared" ref="G59:G66" si="13">E59*F59/100</f>
        <v>2206.5780394132057</v>
      </c>
      <c r="H59" s="447">
        <f t="shared" si="12"/>
        <v>32806.721999999994</v>
      </c>
    </row>
    <row r="60" spans="2:8" s="23" customFormat="1" x14ac:dyDescent="0.2">
      <c r="B60" s="441"/>
      <c r="C60" s="431" t="s">
        <v>129</v>
      </c>
      <c r="D60" s="432">
        <v>55790.713000000003</v>
      </c>
      <c r="E60" s="434">
        <v>26586.356</v>
      </c>
      <c r="F60" s="439">
        <v>11.09145120827877</v>
      </c>
      <c r="G60" s="446">
        <f t="shared" si="13"/>
        <v>2948.8127037992949</v>
      </c>
      <c r="H60" s="447">
        <f t="shared" si="12"/>
        <v>82377.069000000003</v>
      </c>
    </row>
    <row r="61" spans="2:8" s="23" customFormat="1" x14ac:dyDescent="0.2">
      <c r="B61" s="441"/>
      <c r="C61" s="431" t="s">
        <v>130</v>
      </c>
      <c r="D61" s="432">
        <v>44531.315000000002</v>
      </c>
      <c r="E61" s="434">
        <v>28915.35</v>
      </c>
      <c r="F61" s="439">
        <v>8.366646105510247</v>
      </c>
      <c r="G61" s="446">
        <f t="shared" si="13"/>
        <v>2419.2450046696572</v>
      </c>
      <c r="H61" s="447">
        <f t="shared" si="12"/>
        <v>73446.665000000008</v>
      </c>
    </row>
    <row r="62" spans="2:8" s="23" customFormat="1" x14ac:dyDescent="0.2">
      <c r="B62" s="441"/>
      <c r="C62" s="431" t="s">
        <v>131</v>
      </c>
      <c r="D62" s="432">
        <v>22794.772000000001</v>
      </c>
      <c r="E62" s="434">
        <v>44501.286999999997</v>
      </c>
      <c r="F62" s="439">
        <v>5.1807003005734797</v>
      </c>
      <c r="G62" s="446">
        <f t="shared" si="13"/>
        <v>2305.4783093680667</v>
      </c>
      <c r="H62" s="447">
        <f t="shared" si="12"/>
        <v>67296.058999999994</v>
      </c>
    </row>
    <row r="63" spans="2:8" s="23" customFormat="1" x14ac:dyDescent="0.2">
      <c r="B63" s="441"/>
      <c r="C63" s="431" t="s">
        <v>132</v>
      </c>
      <c r="D63" s="432">
        <v>6442.2709999999997</v>
      </c>
      <c r="E63" s="434">
        <v>19485.272000000001</v>
      </c>
      <c r="F63" s="439">
        <v>5.4911472856885029</v>
      </c>
      <c r="G63" s="446">
        <f t="shared" si="13"/>
        <v>1069.964984537022</v>
      </c>
      <c r="H63" s="447">
        <f t="shared" si="12"/>
        <v>25927.543000000001</v>
      </c>
    </row>
    <row r="64" spans="2:8" s="23" customFormat="1" x14ac:dyDescent="0.2">
      <c r="B64" s="441"/>
      <c r="C64" s="431" t="s">
        <v>133</v>
      </c>
      <c r="D64" s="432">
        <v>2868.375</v>
      </c>
      <c r="E64" s="434">
        <v>7170.0150000000003</v>
      </c>
      <c r="F64" s="439">
        <v>8.3550514005759169</v>
      </c>
      <c r="G64" s="446">
        <f t="shared" si="13"/>
        <v>599.05843867900342</v>
      </c>
      <c r="H64" s="447">
        <f t="shared" si="12"/>
        <v>10038.39</v>
      </c>
    </row>
    <row r="65" spans="2:8" s="23" customFormat="1" x14ac:dyDescent="0.2">
      <c r="B65" s="441"/>
      <c r="C65" s="431" t="s">
        <v>134</v>
      </c>
      <c r="D65" s="432">
        <v>130.184</v>
      </c>
      <c r="E65" s="434">
        <v>484.70400000000001</v>
      </c>
      <c r="F65" s="439">
        <v>40.652222990266495</v>
      </c>
      <c r="G65" s="446">
        <f t="shared" si="13"/>
        <v>197.04295092274134</v>
      </c>
      <c r="H65" s="447">
        <f t="shared" si="12"/>
        <v>614.88800000000003</v>
      </c>
    </row>
    <row r="66" spans="2:8" s="23" customFormat="1" x14ac:dyDescent="0.2">
      <c r="B66" s="441"/>
      <c r="C66" s="431" t="s">
        <v>135</v>
      </c>
      <c r="D66" s="432">
        <v>13.342000000000001</v>
      </c>
      <c r="E66" s="434">
        <v>150.506</v>
      </c>
      <c r="F66" s="439">
        <v>28.549241389702583</v>
      </c>
      <c r="G66" s="446">
        <f t="shared" si="13"/>
        <v>42.96832124598577</v>
      </c>
      <c r="H66" s="447">
        <f t="shared" si="12"/>
        <v>163.84800000000001</v>
      </c>
    </row>
    <row r="67" spans="2:8" s="23" customFormat="1" x14ac:dyDescent="0.2">
      <c r="B67" s="441"/>
      <c r="C67" s="431"/>
      <c r="D67" s="432"/>
      <c r="E67" s="434"/>
      <c r="F67" s="439"/>
      <c r="G67" s="434"/>
      <c r="H67" s="443"/>
    </row>
    <row r="68" spans="2:8" s="23" customFormat="1" x14ac:dyDescent="0.2">
      <c r="B68" s="441" t="s">
        <v>105</v>
      </c>
      <c r="C68" s="431" t="s">
        <v>127</v>
      </c>
      <c r="D68" s="432">
        <v>3334.3150000000001</v>
      </c>
      <c r="E68" s="434">
        <v>81093.243000000002</v>
      </c>
      <c r="F68" s="439">
        <v>6.279049372080987</v>
      </c>
      <c r="G68" s="446">
        <f t="shared" ref="G68:G76" si="14">E68*F68/100</f>
        <v>5091.8847653916091</v>
      </c>
      <c r="H68" s="447">
        <f t="shared" si="12"/>
        <v>84427.558000000005</v>
      </c>
    </row>
    <row r="69" spans="2:8" s="23" customFormat="1" x14ac:dyDescent="0.2">
      <c r="B69" s="441"/>
      <c r="C69" s="431" t="s">
        <v>128</v>
      </c>
      <c r="D69" s="432">
        <v>17761.655999999999</v>
      </c>
      <c r="E69" s="434">
        <v>374025.81900000002</v>
      </c>
      <c r="F69" s="439">
        <v>2.5927299643900863</v>
      </c>
      <c r="G69" s="446">
        <f t="shared" si="14"/>
        <v>9697.4794837684294</v>
      </c>
      <c r="H69" s="447">
        <f t="shared" si="12"/>
        <v>391787.47500000003</v>
      </c>
    </row>
    <row r="70" spans="2:8" s="23" customFormat="1" x14ac:dyDescent="0.2">
      <c r="B70" s="441"/>
      <c r="C70" s="431" t="s">
        <v>129</v>
      </c>
      <c r="D70" s="432">
        <v>14717.751</v>
      </c>
      <c r="E70" s="434">
        <v>219912.85200000001</v>
      </c>
      <c r="F70" s="439">
        <v>3.4502918855254765</v>
      </c>
      <c r="G70" s="446">
        <f t="shared" si="14"/>
        <v>7587.6352877836507</v>
      </c>
      <c r="H70" s="447">
        <f t="shared" si="12"/>
        <v>234630.603</v>
      </c>
    </row>
    <row r="71" spans="2:8" s="23" customFormat="1" x14ac:dyDescent="0.2">
      <c r="B71" s="441"/>
      <c r="C71" s="431" t="s">
        <v>130</v>
      </c>
      <c r="D71" s="432">
        <v>9206.31</v>
      </c>
      <c r="E71" s="434">
        <v>87849.714999999997</v>
      </c>
      <c r="F71" s="439">
        <v>4.3018141177311717</v>
      </c>
      <c r="G71" s="446">
        <f t="shared" si="14"/>
        <v>3779.1314422565988</v>
      </c>
      <c r="H71" s="447">
        <f t="shared" si="12"/>
        <v>97056.024999999994</v>
      </c>
    </row>
    <row r="72" spans="2:8" s="23" customFormat="1" x14ac:dyDescent="0.2">
      <c r="B72" s="441"/>
      <c r="C72" s="431" t="s">
        <v>131</v>
      </c>
      <c r="D72" s="432">
        <v>9663.31</v>
      </c>
      <c r="E72" s="434">
        <v>76522.137000000002</v>
      </c>
      <c r="F72" s="439">
        <v>3.4041772333698437</v>
      </c>
      <c r="G72" s="446">
        <f t="shared" si="14"/>
        <v>2604.9491662420814</v>
      </c>
      <c r="H72" s="447">
        <f t="shared" si="12"/>
        <v>86185.447</v>
      </c>
    </row>
    <row r="73" spans="2:8" s="23" customFormat="1" x14ac:dyDescent="0.2">
      <c r="B73" s="441"/>
      <c r="C73" s="431" t="s">
        <v>132</v>
      </c>
      <c r="D73" s="432">
        <v>2903.35</v>
      </c>
      <c r="E73" s="434">
        <v>30400.537</v>
      </c>
      <c r="F73" s="439">
        <v>4.768575559034411</v>
      </c>
      <c r="G73" s="446">
        <f t="shared" si="14"/>
        <v>1449.6725771972131</v>
      </c>
      <c r="H73" s="447">
        <f t="shared" si="12"/>
        <v>33303.887000000002</v>
      </c>
    </row>
    <row r="74" spans="2:8" s="23" customFormat="1" x14ac:dyDescent="0.2">
      <c r="B74" s="441"/>
      <c r="C74" s="431" t="s">
        <v>133</v>
      </c>
      <c r="D74" s="432">
        <v>563.56899999999996</v>
      </c>
      <c r="E74" s="434">
        <v>20478.330000000002</v>
      </c>
      <c r="F74" s="439">
        <v>3.9516647990727809</v>
      </c>
      <c r="G74" s="446">
        <f t="shared" si="14"/>
        <v>809.23495804796107</v>
      </c>
      <c r="H74" s="447">
        <f t="shared" si="12"/>
        <v>21041.899000000001</v>
      </c>
    </row>
    <row r="75" spans="2:8" s="23" customFormat="1" x14ac:dyDescent="0.2">
      <c r="B75" s="441"/>
      <c r="C75" s="431" t="s">
        <v>134</v>
      </c>
      <c r="D75" s="432">
        <v>47.162999999999997</v>
      </c>
      <c r="E75" s="434">
        <v>5120.5</v>
      </c>
      <c r="F75" s="439">
        <v>7.373973760150891</v>
      </c>
      <c r="G75" s="446">
        <f t="shared" si="14"/>
        <v>377.58432638852639</v>
      </c>
      <c r="H75" s="447">
        <f t="shared" si="12"/>
        <v>5167.6629999999996</v>
      </c>
    </row>
    <row r="76" spans="2:8" s="23" customFormat="1" x14ac:dyDescent="0.2">
      <c r="B76" s="441"/>
      <c r="C76" s="431" t="s">
        <v>135</v>
      </c>
      <c r="D76" s="432">
        <v>7.0830000000000002</v>
      </c>
      <c r="E76" s="434">
        <v>1851.94</v>
      </c>
      <c r="F76" s="439">
        <v>11.85885635070712</v>
      </c>
      <c r="G76" s="446">
        <f t="shared" si="14"/>
        <v>219.61890430128543</v>
      </c>
      <c r="H76" s="447">
        <f t="shared" si="12"/>
        <v>1859.0230000000001</v>
      </c>
    </row>
    <row r="77" spans="2:8" s="23" customFormat="1" x14ac:dyDescent="0.2">
      <c r="B77" s="441"/>
      <c r="C77" s="431"/>
      <c r="D77" s="432"/>
      <c r="E77" s="434"/>
      <c r="F77" s="439"/>
      <c r="G77" s="434"/>
      <c r="H77" s="443"/>
    </row>
    <row r="78" spans="2:8" s="23" customFormat="1" x14ac:dyDescent="0.2">
      <c r="B78" s="441" t="s">
        <v>106</v>
      </c>
      <c r="C78" s="431" t="s">
        <v>127</v>
      </c>
      <c r="D78" s="432">
        <v>4204.8329999999996</v>
      </c>
      <c r="E78" s="434">
        <v>82498.11</v>
      </c>
      <c r="F78" s="439">
        <v>6.1900729155197256</v>
      </c>
      <c r="G78" s="446">
        <f t="shared" ref="G78:G86" si="15">E78*F78/100</f>
        <v>5106.6931629256705</v>
      </c>
      <c r="H78" s="447">
        <f t="shared" si="12"/>
        <v>86702.942999999999</v>
      </c>
    </row>
    <row r="79" spans="2:8" s="23" customFormat="1" x14ac:dyDescent="0.2">
      <c r="B79" s="441"/>
      <c r="C79" s="431" t="s">
        <v>128</v>
      </c>
      <c r="D79" s="432">
        <v>34020.936999999998</v>
      </c>
      <c r="E79" s="434">
        <v>391033.89399999997</v>
      </c>
      <c r="F79" s="439">
        <v>2.537169314387568</v>
      </c>
      <c r="G79" s="446">
        <f t="shared" si="15"/>
        <v>9921.1919674228084</v>
      </c>
      <c r="H79" s="447">
        <f t="shared" si="12"/>
        <v>425054.83099999995</v>
      </c>
    </row>
    <row r="80" spans="2:8" s="23" customFormat="1" x14ac:dyDescent="0.2">
      <c r="B80" s="441"/>
      <c r="C80" s="431" t="s">
        <v>129</v>
      </c>
      <c r="D80" s="432">
        <v>70508.463000000003</v>
      </c>
      <c r="E80" s="434">
        <v>246963.98300000001</v>
      </c>
      <c r="F80" s="439">
        <v>3.2959781134938284</v>
      </c>
      <c r="G80" s="446">
        <f t="shared" si="15"/>
        <v>8139.8788278926195</v>
      </c>
      <c r="H80" s="447">
        <f t="shared" si="12"/>
        <v>317472.446</v>
      </c>
    </row>
    <row r="81" spans="2:8" s="23" customFormat="1" x14ac:dyDescent="0.2">
      <c r="B81" s="441"/>
      <c r="C81" s="431" t="s">
        <v>130</v>
      </c>
      <c r="D81" s="432">
        <v>53737.625</v>
      </c>
      <c r="E81" s="434">
        <v>117002.702</v>
      </c>
      <c r="F81" s="439">
        <v>3.8572628455464741</v>
      </c>
      <c r="G81" s="446">
        <f t="shared" si="15"/>
        <v>4513.1017525314619</v>
      </c>
      <c r="H81" s="447">
        <f t="shared" si="12"/>
        <v>170740.32699999999</v>
      </c>
    </row>
    <row r="82" spans="2:8" s="23" customFormat="1" x14ac:dyDescent="0.2">
      <c r="B82" s="441"/>
      <c r="C82" s="431" t="s">
        <v>131</v>
      </c>
      <c r="D82" s="432">
        <v>32458.080999999998</v>
      </c>
      <c r="E82" s="434">
        <v>120615.69</v>
      </c>
      <c r="F82" s="439">
        <v>2.8667199907943095</v>
      </c>
      <c r="G82" s="446">
        <f t="shared" si="15"/>
        <v>3457.7140972644929</v>
      </c>
      <c r="H82" s="447">
        <f t="shared" si="12"/>
        <v>153073.77100000001</v>
      </c>
    </row>
    <row r="83" spans="2:8" s="23" customFormat="1" x14ac:dyDescent="0.2">
      <c r="B83" s="441"/>
      <c r="C83" s="431" t="s">
        <v>132</v>
      </c>
      <c r="D83" s="432">
        <v>9345.6200000000008</v>
      </c>
      <c r="E83" s="434">
        <v>49858.381000000001</v>
      </c>
      <c r="F83" s="439">
        <v>3.6276749333053249</v>
      </c>
      <c r="G83" s="446">
        <f t="shared" si="15"/>
        <v>1808.6999896888647</v>
      </c>
      <c r="H83" s="447">
        <f t="shared" si="12"/>
        <v>59204.001000000004</v>
      </c>
    </row>
    <row r="84" spans="2:8" s="23" customFormat="1" x14ac:dyDescent="0.2">
      <c r="B84" s="441"/>
      <c r="C84" s="431" t="s">
        <v>133</v>
      </c>
      <c r="D84" s="432">
        <v>3431.9430000000002</v>
      </c>
      <c r="E84" s="434">
        <v>27651.194</v>
      </c>
      <c r="F84" s="439">
        <v>3.6405951846040079</v>
      </c>
      <c r="G84" s="446">
        <f t="shared" si="15"/>
        <v>1006.6680372495123</v>
      </c>
      <c r="H84" s="447">
        <f t="shared" si="12"/>
        <v>31083.136999999999</v>
      </c>
    </row>
    <row r="85" spans="2:8" s="23" customFormat="1" x14ac:dyDescent="0.2">
      <c r="B85" s="441"/>
      <c r="C85" s="431" t="s">
        <v>134</v>
      </c>
      <c r="D85" s="432">
        <v>177.346</v>
      </c>
      <c r="E85" s="434">
        <v>5601.3630000000003</v>
      </c>
      <c r="F85" s="439">
        <v>7.5958545895764633</v>
      </c>
      <c r="G85" s="446">
        <f t="shared" si="15"/>
        <v>425.47138851433789</v>
      </c>
      <c r="H85" s="447">
        <f t="shared" si="12"/>
        <v>5778.7090000000007</v>
      </c>
    </row>
    <row r="86" spans="2:8" ht="13.5" thickBot="1" x14ac:dyDescent="0.25">
      <c r="B86" s="297"/>
      <c r="C86" s="437" t="s">
        <v>135</v>
      </c>
      <c r="D86" s="440">
        <v>20.425000000000001</v>
      </c>
      <c r="E86" s="440">
        <v>2005.998</v>
      </c>
      <c r="F86" s="438">
        <v>11.174758653236875</v>
      </c>
      <c r="G86" s="336">
        <f t="shared" si="15"/>
        <v>224.16543508875864</v>
      </c>
      <c r="H86" s="344">
        <f t="shared" si="12"/>
        <v>2026.423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5">
    <mergeCell ref="B3:H3"/>
    <mergeCell ref="B29:H29"/>
    <mergeCell ref="B56:H56"/>
    <mergeCell ref="J3:J4"/>
    <mergeCell ref="K3:K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73</v>
      </c>
      <c r="C3" t="s">
        <v>821</v>
      </c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759</v>
      </c>
      <c r="D7" s="1034"/>
      <c r="E7" s="706" t="s">
        <v>82</v>
      </c>
      <c r="F7" s="953" t="s">
        <v>759</v>
      </c>
    </row>
    <row r="8" spans="2:6" ht="15" customHeight="1" x14ac:dyDescent="0.2">
      <c r="B8" s="707" t="str">
        <f>Index!$B$4</f>
        <v>England</v>
      </c>
      <c r="C8" s="708">
        <f>'Section 2 data country'!$C$6</f>
        <v>181.17345999999995</v>
      </c>
      <c r="D8" s="268">
        <f>'Section 2 data country'!$D$6</f>
        <v>1016.37209</v>
      </c>
      <c r="E8" s="209">
        <f>'Section 2 data country'!$E$6</f>
        <v>0.64792943065038755</v>
      </c>
      <c r="F8" s="269">
        <f>SUM(C8,D8)</f>
        <v>1197.5455499999998</v>
      </c>
    </row>
    <row r="9" spans="2:6" ht="15" customHeight="1" x14ac:dyDescent="0.2">
      <c r="B9" s="710" t="s">
        <v>286</v>
      </c>
      <c r="C9" s="711">
        <f>'Section 2 data country'!$C$7</f>
        <v>16.338729999999998</v>
      </c>
      <c r="D9" s="712">
        <f>'Section 2 data country'!$D$7</f>
        <v>59.816089999999996</v>
      </c>
      <c r="E9" s="214">
        <f>'Section 2 data country'!$E$7</f>
        <v>1.7</v>
      </c>
      <c r="F9" s="713">
        <f t="shared" ref="F9:F22" si="0">SUM(C9,D9)</f>
        <v>76.154820000000001</v>
      </c>
    </row>
    <row r="10" spans="2:6" ht="15" customHeight="1" x14ac:dyDescent="0.2">
      <c r="B10" s="710" t="s">
        <v>298</v>
      </c>
      <c r="C10" s="711">
        <f>'Section 2 data country'!$C$8</f>
        <v>10.266860000000001</v>
      </c>
      <c r="D10" s="712">
        <f>'Section 2 data country'!$D$8</f>
        <v>96.409600000000012</v>
      </c>
      <c r="E10" s="214">
        <f>'Section 2 data country'!$E$8</f>
        <v>2</v>
      </c>
      <c r="F10" s="713">
        <f t="shared" si="0"/>
        <v>106.67646000000002</v>
      </c>
    </row>
    <row r="11" spans="2:6" ht="15" customHeight="1" x14ac:dyDescent="0.2">
      <c r="B11" s="710" t="s">
        <v>287</v>
      </c>
      <c r="C11" s="711">
        <f>'Section 2 data country'!$C$9</f>
        <v>21.707750000000001</v>
      </c>
      <c r="D11" s="712">
        <f>'Section 2 data country'!$D$9</f>
        <v>102.52519000000001</v>
      </c>
      <c r="E11" s="214">
        <f>'Section 2 data country'!$E$9</f>
        <v>1.44</v>
      </c>
      <c r="F11" s="713">
        <f t="shared" si="0"/>
        <v>124.23294000000001</v>
      </c>
    </row>
    <row r="12" spans="2:6" ht="15" customHeight="1" x14ac:dyDescent="0.2">
      <c r="B12" s="710" t="s">
        <v>288</v>
      </c>
      <c r="C12" s="711">
        <f>'Section 2 data country'!$C$10</f>
        <v>6.7304899999999996</v>
      </c>
      <c r="D12" s="712">
        <f>'Section 2 data country'!$D$10</f>
        <v>44.435970000000005</v>
      </c>
      <c r="E12" s="214">
        <f>'Section 2 data country'!$E$10</f>
        <v>1.81</v>
      </c>
      <c r="F12" s="713">
        <f t="shared" si="0"/>
        <v>51.166460000000001</v>
      </c>
    </row>
    <row r="13" spans="2:6" ht="15" customHeight="1" x14ac:dyDescent="0.2">
      <c r="B13" s="710" t="s">
        <v>301</v>
      </c>
      <c r="C13" s="711">
        <f>'Section 2 data country'!$C$11</f>
        <v>1.2154100000000001</v>
      </c>
      <c r="D13" s="712">
        <f>'Section 2 data country'!$D$11</f>
        <v>25.682310000000001</v>
      </c>
      <c r="E13" s="214">
        <f>'Section 2 data country'!$E$11</f>
        <v>15.99</v>
      </c>
      <c r="F13" s="713">
        <f t="shared" si="0"/>
        <v>26.89772</v>
      </c>
    </row>
    <row r="14" spans="2:6" ht="15" customHeight="1" x14ac:dyDescent="0.2">
      <c r="B14" s="710" t="s">
        <v>302</v>
      </c>
      <c r="C14" s="711">
        <f>'Section 2 data country'!$C$12</f>
        <v>0.72744000000000009</v>
      </c>
      <c r="D14" s="712">
        <f>'Section 2 data country'!$D$12</f>
        <v>32.458410000000001</v>
      </c>
      <c r="E14" s="214">
        <f>'Section 2 data country'!$E$12</f>
        <v>1.9</v>
      </c>
      <c r="F14" s="713">
        <f t="shared" si="0"/>
        <v>33.185850000000002</v>
      </c>
    </row>
    <row r="15" spans="2:6" ht="15" customHeight="1" x14ac:dyDescent="0.2">
      <c r="B15" s="710" t="s">
        <v>303</v>
      </c>
      <c r="C15" s="711">
        <f>'Section 2 data country'!$C$13</f>
        <v>5.3738100000000006</v>
      </c>
      <c r="D15" s="712">
        <f>'Section 2 data country'!$D$13</f>
        <v>91.230199999999996</v>
      </c>
      <c r="E15" s="214">
        <f>'Section 2 data country'!$E$13</f>
        <v>2.84</v>
      </c>
      <c r="F15" s="713">
        <f t="shared" si="0"/>
        <v>96.604010000000002</v>
      </c>
    </row>
    <row r="16" spans="2:6" ht="15" customHeight="1" x14ac:dyDescent="0.2">
      <c r="B16" s="710" t="s">
        <v>304</v>
      </c>
      <c r="C16" s="711">
        <f>'Section 2 data country'!$C$14</f>
        <v>8.6968199999999989</v>
      </c>
      <c r="D16" s="712">
        <f>'Section 2 data country'!$D$14</f>
        <v>38.227789999999999</v>
      </c>
      <c r="E16" s="214">
        <f>'Section 2 data country'!$E$14</f>
        <v>1.84</v>
      </c>
      <c r="F16" s="713">
        <f t="shared" si="0"/>
        <v>46.924610000000001</v>
      </c>
    </row>
    <row r="17" spans="2:6" ht="15" customHeight="1" x14ac:dyDescent="0.2">
      <c r="B17" s="710" t="s">
        <v>291</v>
      </c>
      <c r="C17" s="711">
        <f>'Section 2 data country'!$C$15</f>
        <v>40.127139999999997</v>
      </c>
      <c r="D17" s="712">
        <f>'Section 2 data country'!$D$15</f>
        <v>60.216670000000001</v>
      </c>
      <c r="E17" s="214">
        <f>'Section 2 data country'!$E$15</f>
        <v>2.5299999999999998</v>
      </c>
      <c r="F17" s="713">
        <f t="shared" si="0"/>
        <v>100.34380999999999</v>
      </c>
    </row>
    <row r="18" spans="2:6" ht="15" customHeight="1" x14ac:dyDescent="0.2">
      <c r="B18" s="710" t="s">
        <v>292</v>
      </c>
      <c r="C18" s="711">
        <f>'Section 2 data country'!$C$16</f>
        <v>21.131790000000002</v>
      </c>
      <c r="D18" s="712">
        <f>'Section 2 data country'!$D$16</f>
        <v>93.152839999999998</v>
      </c>
      <c r="E18" s="214">
        <f>'Section 2 data country'!$E$16</f>
        <v>1.5</v>
      </c>
      <c r="F18" s="713">
        <f t="shared" si="0"/>
        <v>114.28462999999999</v>
      </c>
    </row>
    <row r="19" spans="2:6" ht="15" customHeight="1" x14ac:dyDescent="0.2">
      <c r="B19" s="710" t="s">
        <v>293</v>
      </c>
      <c r="C19" s="711">
        <f>'Section 2 data country'!$C$17</f>
        <v>2.5629</v>
      </c>
      <c r="D19" s="712">
        <f>'Section 2 data country'!$D$17</f>
        <v>86.046720000000008</v>
      </c>
      <c r="E19" s="214">
        <f>'Section 2 data country'!$E$17</f>
        <v>0.94</v>
      </c>
      <c r="F19" s="713">
        <f t="shared" si="0"/>
        <v>88.609620000000007</v>
      </c>
    </row>
    <row r="20" spans="2:6" ht="15" customHeight="1" x14ac:dyDescent="0.2">
      <c r="B20" s="710" t="s">
        <v>294</v>
      </c>
      <c r="C20" s="711">
        <f>'Section 2 data country'!$C$18</f>
        <v>10.756680000000001</v>
      </c>
      <c r="D20" s="712">
        <f>'Section 2 data country'!$D$18</f>
        <v>90.090509999999995</v>
      </c>
      <c r="E20" s="214">
        <f>'Section 2 data country'!$E$18</f>
        <v>1.65</v>
      </c>
      <c r="F20" s="713">
        <f t="shared" si="0"/>
        <v>100.84719</v>
      </c>
    </row>
    <row r="21" spans="2:6" ht="15" customHeight="1" x14ac:dyDescent="0.2">
      <c r="B21" s="710" t="s">
        <v>295</v>
      </c>
      <c r="C21" s="711">
        <f>'Section 2 data country'!$C$19</f>
        <v>19.459019999999999</v>
      </c>
      <c r="D21" s="712">
        <f>'Section 2 data country'!$D$19</f>
        <v>111.30824000000001</v>
      </c>
      <c r="E21" s="214">
        <f>'Section 2 data country'!$E$19</f>
        <v>1.38</v>
      </c>
      <c r="F21" s="713">
        <f t="shared" si="0"/>
        <v>130.76726000000002</v>
      </c>
    </row>
    <row r="22" spans="2:6" ht="15" customHeight="1" x14ac:dyDescent="0.2">
      <c r="B22" s="714" t="s">
        <v>296</v>
      </c>
      <c r="C22" s="715">
        <f>'Section 2 data country'!$C$20</f>
        <v>16.078620000000001</v>
      </c>
      <c r="D22" s="716">
        <f>'Section 2 data country'!$D$20</f>
        <v>84.771550000000005</v>
      </c>
      <c r="E22" s="717">
        <f>'Section 2 data country'!$E$20</f>
        <v>1.6</v>
      </c>
      <c r="F22" s="718">
        <f t="shared" si="0"/>
        <v>100.85017000000001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F162342-56C8-458C-B4A0-6EB8938EE471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2ED44784-C761-44E4-BB95-03B5591F6688}">
            <xm:f>Sheet1!$D$5</xm:f>
            <xm:f>Sheet1!$E$5</xm:f>
            <x14:dxf>
              <numFmt numFmtId="174" formatCode="&quot;&lt; 0.1&quot;"/>
            </x14:dxf>
          </x14:cfRule>
          <xm:sqref>C8:D22 F8:F22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137</v>
      </c>
      <c r="C3" t="s">
        <v>74</v>
      </c>
    </row>
    <row r="5" spans="2:6" ht="15" customHeight="1" x14ac:dyDescent="0.2">
      <c r="B5" s="1061" t="s">
        <v>267</v>
      </c>
      <c r="C5" s="6" t="s">
        <v>78</v>
      </c>
      <c r="D5" s="1063" t="s">
        <v>79</v>
      </c>
      <c r="E5" s="1063"/>
      <c r="F5" s="7" t="s">
        <v>80</v>
      </c>
    </row>
    <row r="6" spans="2:6" ht="30" customHeight="1" x14ac:dyDescent="0.2">
      <c r="B6" s="1062"/>
      <c r="C6" s="8" t="s">
        <v>81</v>
      </c>
      <c r="D6" s="8" t="s">
        <v>81</v>
      </c>
      <c r="E6" s="9" t="s">
        <v>82</v>
      </c>
      <c r="F6" s="10" t="s">
        <v>81</v>
      </c>
    </row>
    <row r="7" spans="2:6" ht="15" customHeight="1" x14ac:dyDescent="0.2">
      <c r="B7" s="220" t="s">
        <v>92</v>
      </c>
      <c r="C7" s="221"/>
      <c r="D7" s="221"/>
      <c r="E7" s="221"/>
      <c r="F7" s="221"/>
    </row>
    <row r="8" spans="2:6" ht="15" customHeight="1" x14ac:dyDescent="0.2">
      <c r="B8" s="222" t="s">
        <v>360</v>
      </c>
      <c r="C8" s="57">
        <f>'Section 2 data'!$D$31</f>
        <v>17.899469999999997</v>
      </c>
      <c r="D8" s="259">
        <f>'Section 2 data'!$E$31</f>
        <v>7.0059100000000001</v>
      </c>
      <c r="E8" s="223">
        <f>'Section 2 data'!$F$31</f>
        <v>40.581210400008011</v>
      </c>
      <c r="F8" s="260">
        <f>SUM(C8,D8)</f>
        <v>24.905379999999997</v>
      </c>
    </row>
    <row r="9" spans="2:6" ht="15" customHeight="1" x14ac:dyDescent="0.2">
      <c r="B9" s="225" t="s">
        <v>361</v>
      </c>
      <c r="C9" s="57">
        <f>'Section 2 data'!$D$32</f>
        <v>15.17465</v>
      </c>
      <c r="D9" s="264">
        <f>'Section 2 data'!$E$32</f>
        <v>9.2496700000000001</v>
      </c>
      <c r="E9" s="223">
        <f>'Section 2 data'!$F$32</f>
        <v>16.749083411277184</v>
      </c>
      <c r="F9" s="260">
        <f t="shared" ref="F9:F15" si="0">SUM(C9,D9)</f>
        <v>24.424320000000002</v>
      </c>
    </row>
    <row r="10" spans="2:6" ht="15" customHeight="1" x14ac:dyDescent="0.2">
      <c r="B10" s="222" t="s">
        <v>362</v>
      </c>
      <c r="C10" s="57">
        <f>'Section 2 data'!$D$33</f>
        <v>44.238689999999998</v>
      </c>
      <c r="D10" s="259">
        <f>'Section 2 data'!$E$33</f>
        <v>53.01153</v>
      </c>
      <c r="E10" s="223">
        <f>'Section 2 data'!$F$33</f>
        <v>6.3541107745991585</v>
      </c>
      <c r="F10" s="260">
        <f t="shared" si="0"/>
        <v>97.250219999999999</v>
      </c>
    </row>
    <row r="11" spans="2:6" ht="15" customHeight="1" x14ac:dyDescent="0.2">
      <c r="B11" s="222" t="s">
        <v>363</v>
      </c>
      <c r="C11" s="57">
        <f>'Section 2 data'!$D$34</f>
        <v>36.325769999999999</v>
      </c>
      <c r="D11" s="259">
        <f>'Section 2 data'!$E$34</f>
        <v>83.497649999999993</v>
      </c>
      <c r="E11" s="246">
        <f>'Section 2 data'!$F$34</f>
        <v>4.1519858845392523</v>
      </c>
      <c r="F11" s="260">
        <f t="shared" si="0"/>
        <v>119.82342</v>
      </c>
    </row>
    <row r="12" spans="2:6" ht="15" customHeight="1" x14ac:dyDescent="0.2">
      <c r="B12" s="222" t="s">
        <v>364</v>
      </c>
      <c r="C12" s="57">
        <f>'Section 2 data'!$D$35</f>
        <v>9.3446099999999994</v>
      </c>
      <c r="D12" s="259">
        <f>'Section 2 data'!$E$35</f>
        <v>19.489659999999997</v>
      </c>
      <c r="E12" s="246">
        <f>'Section 2 data'!$F$35</f>
        <v>9.8543432177060701</v>
      </c>
      <c r="F12" s="260">
        <f t="shared" si="0"/>
        <v>28.834269999999997</v>
      </c>
    </row>
    <row r="13" spans="2:6" ht="15" customHeight="1" x14ac:dyDescent="0.2">
      <c r="B13" s="222" t="s">
        <v>365</v>
      </c>
      <c r="C13" s="57">
        <f>'Section 2 data'!$D$36</f>
        <v>3.8963100000000002</v>
      </c>
      <c r="D13" s="259">
        <f>'Section 2 data'!$E$36</f>
        <v>2.83283</v>
      </c>
      <c r="E13" s="223">
        <f>'Section 2 data'!$F$36</f>
        <v>28.027277997986701</v>
      </c>
      <c r="F13" s="260">
        <f t="shared" si="0"/>
        <v>6.7291400000000001</v>
      </c>
    </row>
    <row r="14" spans="2:6" ht="15" customHeight="1" x14ac:dyDescent="0.2">
      <c r="B14" s="222" t="s">
        <v>366</v>
      </c>
      <c r="C14" s="57">
        <f>'Section 2 data'!$D$37</f>
        <v>0.78931000000000018</v>
      </c>
      <c r="D14" s="259">
        <f>'Section 2 data'!$E$37</f>
        <v>2.4670000000000001</v>
      </c>
      <c r="E14" s="223">
        <f>'Section 2 data'!$F$37</f>
        <v>22.65137193852992</v>
      </c>
      <c r="F14" s="260">
        <f t="shared" si="0"/>
        <v>3.25631</v>
      </c>
    </row>
    <row r="15" spans="2:6" ht="15" customHeight="1" x14ac:dyDescent="0.2">
      <c r="B15" s="226" t="s">
        <v>80</v>
      </c>
      <c r="C15" s="73">
        <f>'Section 2 data'!$D$6</f>
        <v>127.51262</v>
      </c>
      <c r="D15" s="73">
        <f>'Section 2 data'!$E$6</f>
        <v>177.55427</v>
      </c>
      <c r="E15" s="247">
        <f>'Section 2 data'!$F$6</f>
        <v>1.838364322627509</v>
      </c>
      <c r="F15" s="261">
        <f t="shared" si="0"/>
        <v>305.06689</v>
      </c>
    </row>
    <row r="16" spans="2:6" ht="15" customHeight="1" x14ac:dyDescent="0.2">
      <c r="B16" s="220" t="s">
        <v>105</v>
      </c>
      <c r="C16" s="221"/>
      <c r="D16" s="221"/>
      <c r="E16" s="221"/>
      <c r="F16" s="221"/>
    </row>
    <row r="17" spans="2:6" ht="15" customHeight="1" x14ac:dyDescent="0.2">
      <c r="B17" s="222" t="s">
        <v>360</v>
      </c>
      <c r="C17" s="57">
        <f>'Section 2 data'!$D$39</f>
        <v>4.0579400000000003</v>
      </c>
      <c r="D17" s="259">
        <f>'Section 2 data'!$E$39</f>
        <v>98.771830000000008</v>
      </c>
      <c r="E17" s="223">
        <f>'Section 2 data'!$F$39</f>
        <v>16.219390528286016</v>
      </c>
      <c r="F17" s="260">
        <f t="shared" ref="F17:F24" si="1">SUM(C17,D17)</f>
        <v>102.82977000000001</v>
      </c>
    </row>
    <row r="18" spans="2:6" ht="15" customHeight="1" x14ac:dyDescent="0.2">
      <c r="B18" s="225" t="s">
        <v>361</v>
      </c>
      <c r="C18" s="57">
        <f>'Section 2 data'!$D$40</f>
        <v>4.4019700000000004</v>
      </c>
      <c r="D18" s="264">
        <f>'Section 2 data'!$E$40</f>
        <v>114.97349999999999</v>
      </c>
      <c r="E18" s="223">
        <f>'Section 2 data'!$F$40</f>
        <v>5.1891088111394241</v>
      </c>
      <c r="F18" s="260">
        <f t="shared" si="1"/>
        <v>119.37546999999999</v>
      </c>
    </row>
    <row r="19" spans="2:6" ht="15" customHeight="1" x14ac:dyDescent="0.2">
      <c r="B19" s="222" t="s">
        <v>362</v>
      </c>
      <c r="C19" s="57">
        <f>'Section 2 data'!$D$41</f>
        <v>5.6660299999999992</v>
      </c>
      <c r="D19" s="259">
        <f>'Section 2 data'!$E$41</f>
        <v>226.23848999999998</v>
      </c>
      <c r="E19" s="223">
        <f>'Section 2 data'!$F$41</f>
        <v>2.9087458959919741</v>
      </c>
      <c r="F19" s="260">
        <f t="shared" si="1"/>
        <v>231.90451999999999</v>
      </c>
    </row>
    <row r="20" spans="2:6" ht="15" customHeight="1" x14ac:dyDescent="0.2">
      <c r="B20" s="222" t="s">
        <v>363</v>
      </c>
      <c r="C20" s="57">
        <f>'Section 2 data'!$D$42</f>
        <v>12.500200000000003</v>
      </c>
      <c r="D20" s="259">
        <f>'Section 2 data'!$E$42</f>
        <v>144.22015000000002</v>
      </c>
      <c r="E20" s="246">
        <f>'Section 2 data'!$F$42</f>
        <v>3.5284345597586744</v>
      </c>
      <c r="F20" s="260">
        <f t="shared" si="1"/>
        <v>156.72035000000002</v>
      </c>
    </row>
    <row r="21" spans="2:6" ht="15" customHeight="1" x14ac:dyDescent="0.2">
      <c r="B21" s="222" t="s">
        <v>364</v>
      </c>
      <c r="C21" s="57">
        <f>'Section 2 data'!$D$43</f>
        <v>12.548170000000001</v>
      </c>
      <c r="D21" s="259">
        <f>'Section 2 data'!$E$43</f>
        <v>115.30089000000001</v>
      </c>
      <c r="E21" s="246">
        <f>'Section 2 data'!$F$43</f>
        <v>4.0225677854241475</v>
      </c>
      <c r="F21" s="260">
        <f t="shared" si="1"/>
        <v>127.84906000000001</v>
      </c>
    </row>
    <row r="22" spans="2:6" ht="15" customHeight="1" x14ac:dyDescent="0.2">
      <c r="B22" s="222" t="s">
        <v>365</v>
      </c>
      <c r="C22" s="57">
        <f>'Section 2 data'!$D$44</f>
        <v>4.0968599999999995</v>
      </c>
      <c r="D22" s="259">
        <f>'Section 2 data'!$E$44</f>
        <v>90.600660000000005</v>
      </c>
      <c r="E22" s="246">
        <f>'Section 2 data'!$F$44</f>
        <v>4.7022206305748728</v>
      </c>
      <c r="F22" s="260">
        <f t="shared" si="1"/>
        <v>94.697519999999997</v>
      </c>
    </row>
    <row r="23" spans="2:6" ht="15" customHeight="1" x14ac:dyDescent="0.2">
      <c r="B23" s="222" t="s">
        <v>366</v>
      </c>
      <c r="C23" s="57">
        <f>'Section 2 data'!$D$45</f>
        <v>10.393650000000001</v>
      </c>
      <c r="D23" s="259">
        <f>'Section 2 data'!$E$45</f>
        <v>48.725180000000002</v>
      </c>
      <c r="E23" s="223">
        <f>'Section 2 data'!$F$45</f>
        <v>6.814621005177024</v>
      </c>
      <c r="F23" s="260">
        <f t="shared" si="1"/>
        <v>59.118830000000003</v>
      </c>
    </row>
    <row r="24" spans="2:6" ht="15" customHeight="1" x14ac:dyDescent="0.2">
      <c r="B24" s="226" t="s">
        <v>80</v>
      </c>
      <c r="C24" s="73">
        <f>'Section 2 data'!$D$7</f>
        <v>53.660849999999996</v>
      </c>
      <c r="D24" s="73">
        <f>'Section 2 data'!$E$7</f>
        <v>838.83070999999995</v>
      </c>
      <c r="E24" s="247">
        <f>'Section 2 data'!$F$7</f>
        <v>0.83000155512029494</v>
      </c>
      <c r="F24" s="261">
        <f t="shared" si="1"/>
        <v>892.49155999999994</v>
      </c>
    </row>
    <row r="25" spans="2:6" ht="15" customHeight="1" x14ac:dyDescent="0.2">
      <c r="B25" s="220" t="s">
        <v>106</v>
      </c>
      <c r="C25" s="221"/>
      <c r="D25" s="221"/>
      <c r="E25" s="221"/>
      <c r="F25" s="221"/>
    </row>
    <row r="26" spans="2:6" ht="15" customHeight="1" x14ac:dyDescent="0.2">
      <c r="B26" s="222" t="s">
        <v>360</v>
      </c>
      <c r="C26" s="57">
        <f>'Section 2 data'!$D$47</f>
        <v>21.957409999999999</v>
      </c>
      <c r="D26" s="259">
        <f>'Section 2 data'!$E$47</f>
        <v>105.80068000000001</v>
      </c>
      <c r="E26" s="223">
        <f>'Section 2 data'!$F$47</f>
        <v>15.910091235187485</v>
      </c>
      <c r="F26" s="260">
        <f t="shared" ref="F26:F33" si="2">SUM(C26,D26)</f>
        <v>127.75809000000001</v>
      </c>
    </row>
    <row r="27" spans="2:6" ht="15" customHeight="1" x14ac:dyDescent="0.2">
      <c r="B27" s="225" t="s">
        <v>361</v>
      </c>
      <c r="C27" s="57">
        <f>'Section 2 data'!$D$48</f>
        <v>19.576630000000002</v>
      </c>
      <c r="D27" s="264">
        <f>'Section 2 data'!$E$48</f>
        <v>124.25308000000001</v>
      </c>
      <c r="E27" s="223">
        <f>'Section 2 data'!$F$48</f>
        <v>5.0253311074682934</v>
      </c>
      <c r="F27" s="260">
        <f t="shared" si="2"/>
        <v>143.82971000000001</v>
      </c>
    </row>
    <row r="28" spans="2:6" ht="15" customHeight="1" x14ac:dyDescent="0.2">
      <c r="B28" s="222" t="s">
        <v>362</v>
      </c>
      <c r="C28" s="57">
        <f>'Section 2 data'!$D$49</f>
        <v>49.904710000000009</v>
      </c>
      <c r="D28" s="259">
        <f>'Section 2 data'!$E$49</f>
        <v>279.66856000000007</v>
      </c>
      <c r="E28" s="223">
        <f>'Section 2 data'!$F$49</f>
        <v>3.0408766206051205</v>
      </c>
      <c r="F28" s="260">
        <f t="shared" si="2"/>
        <v>329.57327000000009</v>
      </c>
    </row>
    <row r="29" spans="2:6" ht="15" customHeight="1" x14ac:dyDescent="0.2">
      <c r="B29" s="222" t="s">
        <v>363</v>
      </c>
      <c r="C29" s="57">
        <f>'Section 2 data'!$D$50</f>
        <v>48.82593</v>
      </c>
      <c r="D29" s="259">
        <f>'Section 2 data'!$E$50</f>
        <v>227.40845999999996</v>
      </c>
      <c r="E29" s="246">
        <f>'Section 2 data'!$F$50</f>
        <v>2.7740885658763821</v>
      </c>
      <c r="F29" s="260">
        <f t="shared" si="2"/>
        <v>276.23438999999996</v>
      </c>
    </row>
    <row r="30" spans="2:6" ht="15" customHeight="1" x14ac:dyDescent="0.2">
      <c r="B30" s="222" t="s">
        <v>364</v>
      </c>
      <c r="C30" s="57">
        <f>'Section 2 data'!$D$51</f>
        <v>21.892759999999999</v>
      </c>
      <c r="D30" s="259">
        <f>'Section 2 data'!$E$51</f>
        <v>134.90960999999999</v>
      </c>
      <c r="E30" s="246">
        <f>'Section 2 data'!$F$51</f>
        <v>3.8430204411535529</v>
      </c>
      <c r="F30" s="260">
        <f t="shared" si="2"/>
        <v>156.80237</v>
      </c>
    </row>
    <row r="31" spans="2:6" ht="15" customHeight="1" x14ac:dyDescent="0.2">
      <c r="B31" s="222" t="s">
        <v>365</v>
      </c>
      <c r="C31" s="57">
        <f>'Section 2 data'!$D$52</f>
        <v>7.9931399999999995</v>
      </c>
      <c r="D31" s="259">
        <f>'Section 2 data'!$E$52</f>
        <v>93.46463</v>
      </c>
      <c r="E31" s="246">
        <f>'Section 2 data'!$F$52</f>
        <v>4.6810837209700225</v>
      </c>
      <c r="F31" s="260">
        <f t="shared" si="2"/>
        <v>101.45777</v>
      </c>
    </row>
    <row r="32" spans="2:6" ht="15" customHeight="1" x14ac:dyDescent="0.2">
      <c r="B32" s="222" t="s">
        <v>366</v>
      </c>
      <c r="C32" s="57">
        <f>'Section 2 data'!$D$53</f>
        <v>11.182980000000001</v>
      </c>
      <c r="D32" s="259">
        <f>'Section 2 data'!$E$53</f>
        <v>50.867080000000001</v>
      </c>
      <c r="E32" s="223">
        <f>'Section 2 data'!$F$53</f>
        <v>6.6678367663675324</v>
      </c>
      <c r="F32" s="260">
        <f t="shared" si="2"/>
        <v>62.050060000000002</v>
      </c>
    </row>
    <row r="33" spans="2:6" ht="15" customHeight="1" x14ac:dyDescent="0.2">
      <c r="B33" s="228" t="s">
        <v>80</v>
      </c>
      <c r="C33" s="262">
        <f>'Section 2 data'!$D$5</f>
        <v>181.17345999999995</v>
      </c>
      <c r="D33" s="262">
        <f>'Section 2 data'!$E$5</f>
        <v>1016.37209</v>
      </c>
      <c r="E33" s="248">
        <f>'Section 2 data'!$F$5</f>
        <v>0.64792943065038755</v>
      </c>
      <c r="F33" s="263">
        <f t="shared" si="2"/>
        <v>1197.5455499999998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A0D8417-89AA-436C-AA65-20057903227D}">
            <xm:f>IF($E8&gt;Sheet1!$F$4,1,)</xm:f>
            <x14:dxf>
              <font>
                <color rgb="FF808080"/>
              </font>
            </x14:dxf>
          </x14:cfRule>
          <xm:sqref>D8:F33</xm:sqref>
        </x14:conditionalFormatting>
        <x14:conditionalFormatting xmlns:xm="http://schemas.microsoft.com/office/excel/2006/main">
          <x14:cfRule type="cellIs" priority="1" operator="between" id="{E30DDD6B-0193-4971-B33E-31685793974C}">
            <xm:f>Sheet1!$D$5</xm:f>
            <xm:f>Sheet1!$E$5</xm:f>
            <x14:dxf>
              <numFmt numFmtId="174" formatCode="&quot;&lt; 0.1&quot;"/>
            </x14:dxf>
          </x14:cfRule>
          <xm:sqref>C8:D33 F8:F33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B3:F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138</v>
      </c>
      <c r="C3" t="s">
        <v>75</v>
      </c>
    </row>
    <row r="5" spans="2:6" ht="15" customHeight="1" x14ac:dyDescent="0.2">
      <c r="B5" s="1064" t="s">
        <v>269</v>
      </c>
      <c r="C5" s="39" t="s">
        <v>78</v>
      </c>
      <c r="D5" s="1066" t="s">
        <v>79</v>
      </c>
      <c r="E5" s="1066"/>
      <c r="F5" s="219" t="s">
        <v>80</v>
      </c>
    </row>
    <row r="6" spans="2:6" ht="30" customHeight="1" x14ac:dyDescent="0.2">
      <c r="B6" s="1065"/>
      <c r="C6" s="257" t="s">
        <v>81</v>
      </c>
      <c r="D6" s="257" t="s">
        <v>81</v>
      </c>
      <c r="E6" s="11" t="s">
        <v>82</v>
      </c>
      <c r="F6" s="258" t="s">
        <v>81</v>
      </c>
    </row>
    <row r="7" spans="2:6" ht="15" customHeight="1" x14ac:dyDescent="0.2">
      <c r="B7" s="220" t="s">
        <v>92</v>
      </c>
      <c r="C7" s="221"/>
      <c r="D7" s="221"/>
      <c r="E7" s="221"/>
      <c r="F7" s="221"/>
    </row>
    <row r="8" spans="2:6" ht="15" customHeight="1" x14ac:dyDescent="0.2">
      <c r="B8" s="222" t="s">
        <v>367</v>
      </c>
      <c r="C8" s="57">
        <f>'Section 2 data'!$D$58</f>
        <v>19.814070000000001</v>
      </c>
      <c r="D8" s="259">
        <f>'Section 2 data'!$E$58</f>
        <v>8.3955500000000001</v>
      </c>
      <c r="E8" s="223">
        <f>'Section 2 data'!$F$58</f>
        <v>13.778220578923456</v>
      </c>
      <c r="F8" s="260">
        <f>SUM(C8,D8)</f>
        <v>28.209620000000001</v>
      </c>
    </row>
    <row r="9" spans="2:6" ht="15" customHeight="1" x14ac:dyDescent="0.2">
      <c r="B9" s="224" t="s">
        <v>368</v>
      </c>
      <c r="C9" s="57">
        <f>'Section 2 data'!$D$59</f>
        <v>7.0026699999999993</v>
      </c>
      <c r="D9" s="259">
        <f>'Section 2 data'!$E$59</f>
        <v>7.3199599999999991</v>
      </c>
      <c r="E9" s="223">
        <f>'Section 2 data'!$F$59</f>
        <v>12.356674998001319</v>
      </c>
      <c r="F9" s="260">
        <f t="shared" ref="F9:F17" si="0">SUM(C9,D9)</f>
        <v>14.322629999999998</v>
      </c>
    </row>
    <row r="10" spans="2:6" ht="15" customHeight="1" x14ac:dyDescent="0.2">
      <c r="B10" s="225" t="s">
        <v>369</v>
      </c>
      <c r="C10" s="57">
        <f>'Section 2 data'!$D$60</f>
        <v>23.031970000000001</v>
      </c>
      <c r="D10" s="259">
        <f>'Section 2 data'!$E$60</f>
        <v>12.887109999999998</v>
      </c>
      <c r="E10" s="223">
        <f>'Section 2 data'!$F$60</f>
        <v>9.3631261909528778</v>
      </c>
      <c r="F10" s="260">
        <f t="shared" si="0"/>
        <v>35.919080000000001</v>
      </c>
    </row>
    <row r="11" spans="2:6" ht="15" customHeight="1" x14ac:dyDescent="0.2">
      <c r="B11" s="222" t="s">
        <v>370</v>
      </c>
      <c r="C11" s="57">
        <f>'Section 2 data'!$D$61</f>
        <v>22.334919999999997</v>
      </c>
      <c r="D11" s="259">
        <f>'Section 2 data'!$E$61</f>
        <v>20.87013</v>
      </c>
      <c r="E11" s="223">
        <f>'Section 2 data'!$F$61</f>
        <v>7.0464560827987262</v>
      </c>
      <c r="F11" s="260">
        <f t="shared" si="0"/>
        <v>43.20505</v>
      </c>
    </row>
    <row r="12" spans="2:6" ht="15" customHeight="1" x14ac:dyDescent="0.2">
      <c r="B12" s="222" t="s">
        <v>371</v>
      </c>
      <c r="C12" s="57">
        <f>'Section 2 data'!$D$62</f>
        <v>23.36355</v>
      </c>
      <c r="D12" s="259">
        <f>'Section 2 data'!$E$62</f>
        <v>50.029089999999997</v>
      </c>
      <c r="E12" s="223">
        <f>'Section 2 data'!$F$62</f>
        <v>4.1841075173282229</v>
      </c>
      <c r="F12" s="260">
        <f t="shared" si="0"/>
        <v>73.39264</v>
      </c>
    </row>
    <row r="13" spans="2:6" ht="15" customHeight="1" x14ac:dyDescent="0.2">
      <c r="B13" s="222" t="s">
        <v>372</v>
      </c>
      <c r="C13" s="57">
        <f>'Section 2 data'!$D$63</f>
        <v>17.265070000000001</v>
      </c>
      <c r="D13" s="259">
        <f>'Section 2 data'!$E$63</f>
        <v>45.473959999999991</v>
      </c>
      <c r="E13" s="223">
        <f>'Section 2 data'!$F$63</f>
        <v>4.5729420570367143</v>
      </c>
      <c r="F13" s="260">
        <f t="shared" si="0"/>
        <v>62.739029999999993</v>
      </c>
    </row>
    <row r="14" spans="2:6" ht="15" customHeight="1" x14ac:dyDescent="0.2">
      <c r="B14" s="222" t="s">
        <v>373</v>
      </c>
      <c r="C14" s="57">
        <f>'Section 2 data'!$D$64</f>
        <v>13.36876</v>
      </c>
      <c r="D14" s="259">
        <f>'Section 2 data'!$E$64</f>
        <v>26.997049999999998</v>
      </c>
      <c r="E14" s="223">
        <f>'Section 2 data'!$F$64</f>
        <v>5.8313147580002926</v>
      </c>
      <c r="F14" s="260">
        <f t="shared" si="0"/>
        <v>40.365809999999996</v>
      </c>
    </row>
    <row r="15" spans="2:6" ht="15" customHeight="1" x14ac:dyDescent="0.2">
      <c r="B15" s="222" t="s">
        <v>374</v>
      </c>
      <c r="C15" s="57">
        <f>'Section 2 data'!$D$65</f>
        <v>1.1394900000000001</v>
      </c>
      <c r="D15" s="259">
        <f>'Section 2 data'!$E$65</f>
        <v>3.6102299999999996</v>
      </c>
      <c r="E15" s="223">
        <f>'Section 2 data'!$F$65</f>
        <v>2.1011938033953174E-2</v>
      </c>
      <c r="F15" s="260">
        <f t="shared" si="0"/>
        <v>4.7497199999999999</v>
      </c>
    </row>
    <row r="16" spans="2:6" ht="15" customHeight="1" x14ac:dyDescent="0.2">
      <c r="B16" s="222" t="s">
        <v>375</v>
      </c>
      <c r="C16" s="57">
        <f>'Section 2 data'!$D$66</f>
        <v>0.19205</v>
      </c>
      <c r="D16" s="259">
        <f>'Section 2 data'!$E$66</f>
        <v>1.9712000000000001</v>
      </c>
      <c r="E16" s="223">
        <f>'Section 2 data'!$F$66</f>
        <v>2.3800500629660864E-2</v>
      </c>
      <c r="F16" s="260">
        <f t="shared" si="0"/>
        <v>2.1632500000000001</v>
      </c>
    </row>
    <row r="17" spans="2:6" ht="15" customHeight="1" x14ac:dyDescent="0.2">
      <c r="B17" s="226" t="s">
        <v>80</v>
      </c>
      <c r="C17" s="73">
        <f>'Section 2 data'!$D$6</f>
        <v>127.51262</v>
      </c>
      <c r="D17" s="73">
        <f>'Section 2 data'!$E$6</f>
        <v>177.55427</v>
      </c>
      <c r="E17" s="227">
        <f>'Section 2 data'!$F$6</f>
        <v>1.838364322627509</v>
      </c>
      <c r="F17" s="261">
        <f t="shared" si="0"/>
        <v>305.06689</v>
      </c>
    </row>
    <row r="18" spans="2:6" ht="15" customHeight="1" x14ac:dyDescent="0.2">
      <c r="B18" s="220" t="s">
        <v>105</v>
      </c>
      <c r="C18" s="221"/>
      <c r="D18" s="221"/>
      <c r="E18" s="221"/>
      <c r="F18" s="221"/>
    </row>
    <row r="19" spans="2:6" ht="15" customHeight="1" x14ac:dyDescent="0.2">
      <c r="B19" s="222" t="s">
        <v>367</v>
      </c>
      <c r="C19" s="57">
        <f>'Section 2 data'!$D$68</f>
        <v>5.8585799999999999</v>
      </c>
      <c r="D19" s="259">
        <f>'Section 2 data'!$E$68</f>
        <v>123.81151</v>
      </c>
      <c r="E19" s="223">
        <f>'Section 2 data'!$F$68</f>
        <v>4.0557423274664943</v>
      </c>
      <c r="F19" s="260">
        <f t="shared" ref="F19:F28" si="1">SUM(C19,D19)</f>
        <v>129.67008999999999</v>
      </c>
    </row>
    <row r="20" spans="2:6" ht="15" customHeight="1" x14ac:dyDescent="0.2">
      <c r="B20" s="224" t="s">
        <v>368</v>
      </c>
      <c r="C20" s="57">
        <f>'Section 2 data'!$D$69</f>
        <v>6.1244400000000008</v>
      </c>
      <c r="D20" s="259">
        <f>'Section 2 data'!$E$69</f>
        <v>153.90060999999997</v>
      </c>
      <c r="E20" s="223">
        <f>'Section 2 data'!$F$69</f>
        <v>2.385000509884712</v>
      </c>
      <c r="F20" s="260">
        <f t="shared" si="1"/>
        <v>160.02504999999996</v>
      </c>
    </row>
    <row r="21" spans="2:6" ht="15" customHeight="1" x14ac:dyDescent="0.2">
      <c r="B21" s="225" t="s">
        <v>369</v>
      </c>
      <c r="C21" s="57">
        <f>'Section 2 data'!$D$70</f>
        <v>6.2355800000000006</v>
      </c>
      <c r="D21" s="259">
        <f>'Section 2 data'!$E$70</f>
        <v>118.71392999999999</v>
      </c>
      <c r="E21" s="223">
        <f>'Section 2 data'!$F$70</f>
        <v>2.8005025397082739</v>
      </c>
      <c r="F21" s="260">
        <f t="shared" si="1"/>
        <v>124.94950999999999</v>
      </c>
    </row>
    <row r="22" spans="2:6" ht="15" customHeight="1" x14ac:dyDescent="0.2">
      <c r="B22" s="222" t="s">
        <v>370</v>
      </c>
      <c r="C22" s="57">
        <f>'Section 2 data'!$D$71</f>
        <v>6.8958499999999994</v>
      </c>
      <c r="D22" s="259">
        <f>'Section 2 data'!$E$71</f>
        <v>84.814849999999993</v>
      </c>
      <c r="E22" s="223">
        <f>'Section 2 data'!$F$71</f>
        <v>3.1716451498441538</v>
      </c>
      <c r="F22" s="260">
        <f t="shared" si="1"/>
        <v>91.710699999999989</v>
      </c>
    </row>
    <row r="23" spans="2:6" ht="15" customHeight="1" x14ac:dyDescent="0.2">
      <c r="B23" s="222" t="s">
        <v>371</v>
      </c>
      <c r="C23" s="57">
        <f>'Section 2 data'!$D$72</f>
        <v>15.367700000000001</v>
      </c>
      <c r="D23" s="259">
        <f>'Section 2 data'!$E$72</f>
        <v>122.74942999999999</v>
      </c>
      <c r="E23" s="223">
        <f>'Section 2 data'!$F$72</f>
        <v>2.7138729112387798</v>
      </c>
      <c r="F23" s="260">
        <f t="shared" si="1"/>
        <v>138.11713</v>
      </c>
    </row>
    <row r="24" spans="2:6" ht="15" customHeight="1" x14ac:dyDescent="0.2">
      <c r="B24" s="222" t="s">
        <v>372</v>
      </c>
      <c r="C24" s="57">
        <f>'Section 2 data'!$D$73</f>
        <v>8.3948199999999993</v>
      </c>
      <c r="D24" s="259">
        <f>'Section 2 data'!$E$73</f>
        <v>80.58108</v>
      </c>
      <c r="E24" s="223">
        <f>'Section 2 data'!$F$73</f>
        <v>3.6156339511517075</v>
      </c>
      <c r="F24" s="260">
        <f t="shared" si="1"/>
        <v>88.975899999999996</v>
      </c>
    </row>
    <row r="25" spans="2:6" ht="15" customHeight="1" x14ac:dyDescent="0.2">
      <c r="B25" s="222" t="s">
        <v>373</v>
      </c>
      <c r="C25" s="57">
        <f>'Section 2 data'!$D$74</f>
        <v>3.9185799999999995</v>
      </c>
      <c r="D25" s="259">
        <f>'Section 2 data'!$E$74</f>
        <v>95.762619999999998</v>
      </c>
      <c r="E25" s="223">
        <f>'Section 2 data'!$F$74</f>
        <v>3.3270068510259367</v>
      </c>
      <c r="F25" s="260">
        <f t="shared" si="1"/>
        <v>99.681200000000004</v>
      </c>
    </row>
    <row r="26" spans="2:6" ht="15" customHeight="1" x14ac:dyDescent="0.2">
      <c r="B26" s="222" t="s">
        <v>374</v>
      </c>
      <c r="C26" s="57">
        <f>'Section 2 data'!$D$75</f>
        <v>0.68094999999999994</v>
      </c>
      <c r="D26" s="259">
        <f>'Section 2 data'!$E$75</f>
        <v>36.381550000000004</v>
      </c>
      <c r="E26" s="223">
        <f>'Section 2 data'!$F$75</f>
        <v>5.8234059991383953</v>
      </c>
      <c r="F26" s="260">
        <f t="shared" si="1"/>
        <v>37.062500000000007</v>
      </c>
    </row>
    <row r="27" spans="2:6" ht="15" customHeight="1" x14ac:dyDescent="0.2">
      <c r="B27" s="222" t="s">
        <v>375</v>
      </c>
      <c r="C27" s="57">
        <f>'Section 2 data'!$D$76</f>
        <v>0.18443000000000001</v>
      </c>
      <c r="D27" s="259">
        <f>'Section 2 data'!$E$76</f>
        <v>22.115099999999998</v>
      </c>
      <c r="E27" s="223">
        <f>'Section 2 data'!$F$76</f>
        <v>8.649134479131023</v>
      </c>
      <c r="F27" s="260">
        <f t="shared" si="1"/>
        <v>22.299529999999997</v>
      </c>
    </row>
    <row r="28" spans="2:6" ht="15" customHeight="1" x14ac:dyDescent="0.2">
      <c r="B28" s="226" t="s">
        <v>80</v>
      </c>
      <c r="C28" s="73">
        <f>'Section 2 data'!$D$7</f>
        <v>53.660849999999996</v>
      </c>
      <c r="D28" s="73">
        <f>'Section 2 data'!$E$7</f>
        <v>838.83070999999995</v>
      </c>
      <c r="E28" s="227">
        <f>'Section 2 data'!$F$7</f>
        <v>0.83000155512029494</v>
      </c>
      <c r="F28" s="261">
        <f t="shared" si="1"/>
        <v>892.49155999999994</v>
      </c>
    </row>
    <row r="29" spans="2:6" ht="15" customHeight="1" x14ac:dyDescent="0.2">
      <c r="B29" s="220" t="s">
        <v>106</v>
      </c>
      <c r="C29" s="221"/>
      <c r="D29" s="221"/>
      <c r="E29" s="221"/>
      <c r="F29" s="221"/>
    </row>
    <row r="30" spans="2:6" ht="15" customHeight="1" x14ac:dyDescent="0.2">
      <c r="B30" s="222" t="s">
        <v>367</v>
      </c>
      <c r="C30" s="57">
        <f>'Section 2 data'!$D$78</f>
        <v>25.672659999999997</v>
      </c>
      <c r="D30" s="259">
        <f>'Section 2 data'!$E$78</f>
        <v>132.24871999999999</v>
      </c>
      <c r="E30" s="223">
        <f>'Section 2 data'!$F$78</f>
        <v>3.881074343774523</v>
      </c>
      <c r="F30" s="260">
        <f t="shared" ref="F30:F39" si="2">SUM(C30,D30)</f>
        <v>157.92138</v>
      </c>
    </row>
    <row r="31" spans="2:6" ht="15" customHeight="1" x14ac:dyDescent="0.2">
      <c r="B31" s="224" t="s">
        <v>368</v>
      </c>
      <c r="C31" s="57">
        <f>'Section 2 data'!$D$79</f>
        <v>13.1271</v>
      </c>
      <c r="D31" s="259">
        <f>'Section 2 data'!$E$79</f>
        <v>161.34562</v>
      </c>
      <c r="E31" s="223">
        <f>'Section 2 data'!$F$79</f>
        <v>2.3498445276132935</v>
      </c>
      <c r="F31" s="260">
        <f t="shared" si="2"/>
        <v>174.47272000000001</v>
      </c>
    </row>
    <row r="32" spans="2:6" ht="15" customHeight="1" x14ac:dyDescent="0.2">
      <c r="B32" s="225" t="s">
        <v>369</v>
      </c>
      <c r="C32" s="57">
        <f>'Section 2 data'!$D$80</f>
        <v>29.267570000000003</v>
      </c>
      <c r="D32" s="259">
        <f>'Section 2 data'!$E$80</f>
        <v>131.83850000000001</v>
      </c>
      <c r="E32" s="223">
        <f>'Section 2 data'!$F$80</f>
        <v>2.678899482141313</v>
      </c>
      <c r="F32" s="260">
        <f t="shared" si="2"/>
        <v>161.10607000000002</v>
      </c>
    </row>
    <row r="33" spans="2:6" ht="15" customHeight="1" x14ac:dyDescent="0.2">
      <c r="B33" s="222" t="s">
        <v>370</v>
      </c>
      <c r="C33" s="57">
        <f>'Section 2 data'!$D$81</f>
        <v>29.230760000000004</v>
      </c>
      <c r="D33" s="259">
        <f>'Section 2 data'!$E$81</f>
        <v>105.90535000000001</v>
      </c>
      <c r="E33" s="223">
        <f>'Section 2 data'!$F$81</f>
        <v>2.8952676092746765</v>
      </c>
      <c r="F33" s="260">
        <f t="shared" si="2"/>
        <v>135.13611000000003</v>
      </c>
    </row>
    <row r="34" spans="2:6" ht="15" customHeight="1" x14ac:dyDescent="0.2">
      <c r="B34" s="222" t="s">
        <v>371</v>
      </c>
      <c r="C34" s="57">
        <f>'Section 2 data'!$D$82</f>
        <v>38.73124</v>
      </c>
      <c r="D34" s="259">
        <f>'Section 2 data'!$E$82</f>
        <v>172.49074999999999</v>
      </c>
      <c r="E34" s="223">
        <f>'Section 2 data'!$F$82</f>
        <v>2.2485386085574324</v>
      </c>
      <c r="F34" s="260">
        <f t="shared" si="2"/>
        <v>211.22199000000001</v>
      </c>
    </row>
    <row r="35" spans="2:6" ht="15" customHeight="1" x14ac:dyDescent="0.2">
      <c r="B35" s="222" t="s">
        <v>372</v>
      </c>
      <c r="C35" s="57">
        <f>'Section 2 data'!$D$83</f>
        <v>25.659890000000001</v>
      </c>
      <c r="D35" s="259">
        <f>'Section 2 data'!$E$83</f>
        <v>125.96865</v>
      </c>
      <c r="E35" s="223">
        <f>'Section 2 data'!$F$83</f>
        <v>2.8135474532629257</v>
      </c>
      <c r="F35" s="260">
        <f t="shared" si="2"/>
        <v>151.62853999999999</v>
      </c>
    </row>
    <row r="36" spans="2:6" ht="15" customHeight="1" x14ac:dyDescent="0.2">
      <c r="B36" s="222" t="s">
        <v>373</v>
      </c>
      <c r="C36" s="57">
        <f>'Section 2 data'!$D$84</f>
        <v>17.287309999999998</v>
      </c>
      <c r="D36" s="259">
        <f>'Section 2 data'!$E$84</f>
        <v>122.6575</v>
      </c>
      <c r="E36" s="223">
        <f>'Section 2 data'!$F$84</f>
        <v>2.8936769087586738</v>
      </c>
      <c r="F36" s="260">
        <f t="shared" si="2"/>
        <v>139.94480999999999</v>
      </c>
    </row>
    <row r="37" spans="2:6" ht="15" customHeight="1" x14ac:dyDescent="0.2">
      <c r="B37" s="222" t="s">
        <v>374</v>
      </c>
      <c r="C37" s="57">
        <f>'Section 2 data'!$D$85</f>
        <v>1.82043</v>
      </c>
      <c r="D37" s="259">
        <f>'Section 2 data'!$E$85</f>
        <v>39.798159999999996</v>
      </c>
      <c r="E37" s="223">
        <f>'Section 2 data'!$F$85</f>
        <v>5.6685176597516573</v>
      </c>
      <c r="F37" s="260">
        <f t="shared" si="2"/>
        <v>41.618589999999998</v>
      </c>
    </row>
    <row r="38" spans="2:6" ht="15" customHeight="1" x14ac:dyDescent="0.2">
      <c r="B38" s="222" t="s">
        <v>375</v>
      </c>
      <c r="C38" s="57">
        <f>'Section 2 data'!$D$86</f>
        <v>0.37648000000000004</v>
      </c>
      <c r="D38" s="259">
        <f>'Section 2 data'!$E$86</f>
        <v>24.118879999999997</v>
      </c>
      <c r="E38" s="223">
        <f>'Section 2 data'!$F$86</f>
        <v>8.166532942384725</v>
      </c>
      <c r="F38" s="260">
        <f t="shared" si="2"/>
        <v>24.495359999999998</v>
      </c>
    </row>
    <row r="39" spans="2:6" ht="15" customHeight="1" x14ac:dyDescent="0.2">
      <c r="B39" s="228" t="s">
        <v>80</v>
      </c>
      <c r="C39" s="262">
        <f>'Section 2 data'!$D$5</f>
        <v>181.17345999999995</v>
      </c>
      <c r="D39" s="262">
        <f>'Section 2 data'!$E$5</f>
        <v>1016.37209</v>
      </c>
      <c r="E39" s="230">
        <f>'Section 2 data'!$F$5</f>
        <v>0.64792943065038755</v>
      </c>
      <c r="F39" s="263">
        <f t="shared" si="2"/>
        <v>1197.5455499999998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6AA8651-CB65-4E8F-B3B3-012E34CC7561}">
            <xm:f>IF($E8&gt;Sheet1!$F$4,1,)</xm:f>
            <x14:dxf>
              <font>
                <color rgb="FF808080"/>
              </font>
            </x14:dxf>
          </x14:cfRule>
          <xm:sqref>D8:F39</xm:sqref>
        </x14:conditionalFormatting>
        <x14:conditionalFormatting xmlns:xm="http://schemas.microsoft.com/office/excel/2006/main">
          <x14:cfRule type="cellIs" priority="1" operator="between" id="{6B3140B0-605F-40FA-959D-73B900F7332F}">
            <xm:f>Sheet1!$D$5</xm:f>
            <xm:f>Sheet1!$E$5</xm:f>
            <x14:dxf>
              <numFmt numFmtId="174" formatCode="&quot;&lt; 0.1&quot;"/>
            </x14:dxf>
          </x14:cfRule>
          <xm:sqref>C8:D39 F8:F39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3:F21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139</v>
      </c>
      <c r="C3" t="s">
        <v>822</v>
      </c>
    </row>
    <row r="4" spans="2:6" ht="15" customHeight="1" x14ac:dyDescent="0.2">
      <c r="C4" s="719"/>
    </row>
    <row r="5" spans="2:6" ht="15" customHeight="1" x14ac:dyDescent="0.2">
      <c r="B5" s="1067" t="s">
        <v>76</v>
      </c>
      <c r="C5" s="720" t="s">
        <v>78</v>
      </c>
      <c r="D5" s="1069" t="s">
        <v>79</v>
      </c>
      <c r="E5" s="1070"/>
      <c r="F5" s="721" t="s">
        <v>80</v>
      </c>
    </row>
    <row r="6" spans="2:6" ht="30" customHeight="1" x14ac:dyDescent="0.2">
      <c r="B6" s="1068"/>
      <c r="C6" s="722" t="s">
        <v>81</v>
      </c>
      <c r="D6" s="722" t="s">
        <v>81</v>
      </c>
      <c r="E6" s="12" t="s">
        <v>82</v>
      </c>
      <c r="F6" s="723" t="s">
        <v>81</v>
      </c>
    </row>
    <row r="7" spans="2:6" ht="15" customHeight="1" x14ac:dyDescent="0.2">
      <c r="B7" s="724" t="str">
        <f>Index!$B$4</f>
        <v>England</v>
      </c>
      <c r="C7" s="725">
        <f>'Section 2 data country'!$C$26</f>
        <v>8.4943399999999993</v>
      </c>
      <c r="D7" s="725">
        <f>'Section 2 data country'!$D$26</f>
        <v>9.8433299999999999</v>
      </c>
      <c r="E7" s="726">
        <f>'Section 2 data country'!$E$26</f>
        <v>12.213512707120753</v>
      </c>
      <c r="F7" s="727">
        <f>SUM(C7,D7)</f>
        <v>18.337669999999999</v>
      </c>
    </row>
    <row r="8" spans="2:6" ht="15" customHeight="1" x14ac:dyDescent="0.2">
      <c r="B8" s="728" t="s">
        <v>286</v>
      </c>
      <c r="C8" s="729">
        <f>'Section 2 data country'!$C$27</f>
        <v>1.17967</v>
      </c>
      <c r="D8" s="729">
        <f>'Section 2 data country'!$D$27</f>
        <v>1.3520699999999999</v>
      </c>
      <c r="E8" s="730">
        <f>'Section 2 data country'!$E$27</f>
        <v>31.35</v>
      </c>
      <c r="F8" s="731">
        <f t="shared" ref="F8:F21" si="0">SUM(C8,D8)</f>
        <v>2.5317400000000001</v>
      </c>
    </row>
    <row r="9" spans="2:6" ht="15" customHeight="1" x14ac:dyDescent="0.2">
      <c r="B9" s="728" t="s">
        <v>298</v>
      </c>
      <c r="C9" s="729">
        <f>'Section 2 data country'!$C$28</f>
        <v>0.57008999999999999</v>
      </c>
      <c r="D9" s="729">
        <f>'Section 2 data country'!$D$28</f>
        <v>0.81649000000000005</v>
      </c>
      <c r="E9" s="730">
        <f>'Section 2 data country'!$E$28</f>
        <v>35.89</v>
      </c>
      <c r="F9" s="731">
        <f t="shared" si="0"/>
        <v>1.3865799999999999</v>
      </c>
    </row>
    <row r="10" spans="2:6" ht="15" customHeight="1" x14ac:dyDescent="0.2">
      <c r="B10" s="728" t="s">
        <v>287</v>
      </c>
      <c r="C10" s="729">
        <f>'Section 2 data country'!$C$29</f>
        <v>0.68840000000000001</v>
      </c>
      <c r="D10" s="729">
        <f>'Section 2 data country'!$D$29</f>
        <v>0.85301000000000005</v>
      </c>
      <c r="E10" s="730">
        <f>'Section 2 data country'!$E$29</f>
        <v>50.05</v>
      </c>
      <c r="F10" s="731">
        <f t="shared" si="0"/>
        <v>1.5414099999999999</v>
      </c>
    </row>
    <row r="11" spans="2:6" ht="15" customHeight="1" x14ac:dyDescent="0.2">
      <c r="B11" s="728" t="s">
        <v>288</v>
      </c>
      <c r="C11" s="729">
        <f>'Section 2 data country'!$C$30</f>
        <v>0.33438999999999997</v>
      </c>
      <c r="D11" s="729">
        <f>'Section 2 data country'!$D$30</f>
        <v>0.29669999999999996</v>
      </c>
      <c r="E11" s="730">
        <f>'Section 2 data country'!$E$30</f>
        <v>80.790000000000006</v>
      </c>
      <c r="F11" s="731">
        <f t="shared" si="0"/>
        <v>0.63108999999999993</v>
      </c>
    </row>
    <row r="12" spans="2:6" ht="15" customHeight="1" x14ac:dyDescent="0.2">
      <c r="B12" s="728" t="s">
        <v>301</v>
      </c>
      <c r="C12" s="729">
        <f>'Section 2 data country'!$C$31</f>
        <v>1.443E-2</v>
      </c>
      <c r="D12" s="729">
        <f>'Section 2 data country'!$D$31</f>
        <v>3.2640000000000002E-2</v>
      </c>
      <c r="E12" s="730">
        <f>'Section 2 data country'!$E$31</f>
        <v>93.36</v>
      </c>
      <c r="F12" s="731">
        <f>SUM(C12,D12)</f>
        <v>4.7070000000000001E-2</v>
      </c>
    </row>
    <row r="13" spans="2:6" ht="15" customHeight="1" x14ac:dyDescent="0.2">
      <c r="B13" s="728" t="s">
        <v>302</v>
      </c>
      <c r="C13" s="729">
        <f>'Section 2 data country'!$C$32</f>
        <v>3.6900000000000001E-3</v>
      </c>
      <c r="D13" s="729">
        <f>'Section 2 data country'!$D$32</f>
        <v>0.11069</v>
      </c>
      <c r="E13" s="730">
        <f>'Section 2 data country'!$E$32</f>
        <v>80.53</v>
      </c>
      <c r="F13" s="731">
        <f t="shared" si="0"/>
        <v>0.11438</v>
      </c>
    </row>
    <row r="14" spans="2:6" ht="15" customHeight="1" x14ac:dyDescent="0.2">
      <c r="B14" s="728" t="s">
        <v>303</v>
      </c>
      <c r="C14" s="729">
        <f>'Section 2 data country'!$C$33</f>
        <v>6.0729999999999999E-2</v>
      </c>
      <c r="D14" s="729">
        <f>'Section 2 data country'!$D$33</f>
        <v>0.78816999999999993</v>
      </c>
      <c r="E14" s="730">
        <f>'Section 2 data country'!$E$33</f>
        <v>49.05</v>
      </c>
      <c r="F14" s="731">
        <f t="shared" si="0"/>
        <v>0.84889999999999988</v>
      </c>
    </row>
    <row r="15" spans="2:6" ht="15" customHeight="1" x14ac:dyDescent="0.2">
      <c r="B15" s="728" t="s">
        <v>304</v>
      </c>
      <c r="C15" s="729">
        <f>'Section 2 data country'!$C$34</f>
        <v>0.19596</v>
      </c>
      <c r="D15" s="729">
        <f>'Section 2 data country'!$D$34</f>
        <v>0.19735</v>
      </c>
      <c r="E15" s="730">
        <f>'Section 2 data country'!$E$34</f>
        <v>51.52</v>
      </c>
      <c r="F15" s="731">
        <f t="shared" si="0"/>
        <v>0.39330999999999999</v>
      </c>
    </row>
    <row r="16" spans="2:6" ht="15" customHeight="1" x14ac:dyDescent="0.2">
      <c r="B16" s="728" t="s">
        <v>291</v>
      </c>
      <c r="C16" s="729">
        <f>'Section 2 data country'!$C$35</f>
        <v>2.3097399999999997</v>
      </c>
      <c r="D16" s="729">
        <f>'Section 2 data country'!$D$35</f>
        <v>1.63391</v>
      </c>
      <c r="E16" s="730">
        <f>'Section 2 data country'!$E$35</f>
        <v>37.630000000000003</v>
      </c>
      <c r="F16" s="731">
        <f t="shared" si="0"/>
        <v>3.9436499999999999</v>
      </c>
    </row>
    <row r="17" spans="2:6" ht="15" customHeight="1" x14ac:dyDescent="0.2">
      <c r="B17" s="728" t="s">
        <v>292</v>
      </c>
      <c r="C17" s="729">
        <f>'Section 2 data country'!$C$36</f>
        <v>0.54664999999999997</v>
      </c>
      <c r="D17" s="729">
        <f>'Section 2 data country'!$D$36</f>
        <v>0.54794000000000009</v>
      </c>
      <c r="E17" s="730">
        <f>'Section 2 data country'!$E$36</f>
        <v>37.29</v>
      </c>
      <c r="F17" s="731">
        <f t="shared" si="0"/>
        <v>1.0945900000000002</v>
      </c>
    </row>
    <row r="18" spans="2:6" ht="15" customHeight="1" x14ac:dyDescent="0.2">
      <c r="B18" s="728" t="s">
        <v>293</v>
      </c>
      <c r="C18" s="729">
        <f>'Section 2 data country'!$C$37</f>
        <v>0.21093999999999999</v>
      </c>
      <c r="D18" s="729">
        <f>'Section 2 data country'!$D$37</f>
        <v>0.76591999999999993</v>
      </c>
      <c r="E18" s="730">
        <f>'Section 2 data country'!$E$37</f>
        <v>44.86</v>
      </c>
      <c r="F18" s="731">
        <f t="shared" si="0"/>
        <v>0.97685999999999995</v>
      </c>
    </row>
    <row r="19" spans="2:6" ht="15" customHeight="1" x14ac:dyDescent="0.2">
      <c r="B19" s="728" t="s">
        <v>294</v>
      </c>
      <c r="C19" s="729">
        <f>'Section 2 data country'!$C$38</f>
        <v>0.21414</v>
      </c>
      <c r="D19" s="729">
        <f>'Section 2 data country'!$D$38</f>
        <v>0.41102</v>
      </c>
      <c r="E19" s="730">
        <f>'Section 2 data country'!$E$38</f>
        <v>42.96</v>
      </c>
      <c r="F19" s="731">
        <f t="shared" si="0"/>
        <v>0.62515999999999994</v>
      </c>
    </row>
    <row r="20" spans="2:6" ht="15" customHeight="1" x14ac:dyDescent="0.2">
      <c r="B20" s="728" t="s">
        <v>295</v>
      </c>
      <c r="C20" s="729">
        <f>'Section 2 data country'!$C$39</f>
        <v>0.92698000000000003</v>
      </c>
      <c r="D20" s="729">
        <f>'Section 2 data country'!$D$39</f>
        <v>0.36718000000000001</v>
      </c>
      <c r="E20" s="730">
        <f>'Section 2 data country'!$E$39</f>
        <v>47.47</v>
      </c>
      <c r="F20" s="731">
        <f t="shared" si="0"/>
        <v>1.29416</v>
      </c>
    </row>
    <row r="21" spans="2:6" ht="15" customHeight="1" x14ac:dyDescent="0.2">
      <c r="B21" s="728" t="s">
        <v>296</v>
      </c>
      <c r="C21" s="729">
        <f>'Section 2 data country'!$C$40</f>
        <v>1.2385299999999999</v>
      </c>
      <c r="D21" s="729">
        <f>'Section 2 data country'!$D$40</f>
        <v>1.6702399999999999</v>
      </c>
      <c r="E21" s="730">
        <f>'Section 2 data country'!$E$40</f>
        <v>24.83</v>
      </c>
      <c r="F21" s="731">
        <f t="shared" si="0"/>
        <v>2.9087699999999996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AA731B4-6452-46EF-84ED-7B2B77B03FFB}">
            <xm:f>IF($E7&gt;Sheet1!$F$4,1,)</xm:f>
            <x14:dxf>
              <font>
                <color rgb="FF808080"/>
              </font>
            </x14:dxf>
          </x14:cfRule>
          <xm:sqref>D7:F21</xm:sqref>
        </x14:conditionalFormatting>
        <x14:conditionalFormatting xmlns:xm="http://schemas.microsoft.com/office/excel/2006/main">
          <x14:cfRule type="cellIs" priority="1" operator="between" id="{7F4EC523-305C-4E07-B1CA-92473D7A2FD1}">
            <xm:f>Sheet1!$D$5</xm:f>
            <xm:f>Sheet1!$E$5</xm:f>
            <x14:dxf>
              <numFmt numFmtId="174" formatCode="&quot;&lt; 0.1&quot;"/>
            </x14:dxf>
          </x14:cfRule>
          <xm:sqref>C7:D21 F7:F21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B3:D9"/>
  <sheetViews>
    <sheetView workbookViewId="0"/>
  </sheetViews>
  <sheetFormatPr defaultRowHeight="15" customHeight="1" x14ac:dyDescent="0.2"/>
  <cols>
    <col min="2" max="2" width="25.625" customWidth="1"/>
    <col min="3" max="4" width="15.625" customWidth="1"/>
  </cols>
  <sheetData>
    <row r="3" spans="2:4" ht="15" customHeight="1" x14ac:dyDescent="0.2">
      <c r="B3" t="s">
        <v>145</v>
      </c>
      <c r="C3" t="s">
        <v>823</v>
      </c>
    </row>
    <row r="5" spans="2:4" ht="30" customHeight="1" x14ac:dyDescent="0.2">
      <c r="B5" s="1055"/>
      <c r="C5" s="40" t="s">
        <v>692</v>
      </c>
      <c r="D5" s="232" t="s">
        <v>693</v>
      </c>
    </row>
    <row r="6" spans="2:4" ht="30" customHeight="1" x14ac:dyDescent="0.2">
      <c r="B6" s="1056"/>
      <c r="C6" s="1071" t="s">
        <v>81</v>
      </c>
      <c r="D6" s="1072"/>
    </row>
    <row r="7" spans="2:4" ht="15" customHeight="1" x14ac:dyDescent="0.2">
      <c r="B7" s="203" t="str">
        <f>Index!$B$4</f>
        <v>England</v>
      </c>
      <c r="C7" s="204"/>
      <c r="D7" s="204"/>
    </row>
    <row r="8" spans="2:4" ht="15" customHeight="1" x14ac:dyDescent="0.2">
      <c r="B8" s="133" t="s">
        <v>19</v>
      </c>
      <c r="C8" s="60">
        <f>'Section 2 data'!$H$96</f>
        <v>809.12319503218373</v>
      </c>
      <c r="D8" s="511">
        <f>'Section 2 data'!$H$7</f>
        <v>892.49155999999994</v>
      </c>
    </row>
    <row r="9" spans="2:4" ht="15" customHeight="1" x14ac:dyDescent="0.2">
      <c r="B9" s="512" t="s">
        <v>20</v>
      </c>
      <c r="C9" s="62">
        <f>'Section 2 data'!$H$97</f>
        <v>344.44808717062631</v>
      </c>
      <c r="D9" s="513">
        <f>'Section 2 data'!$H$6</f>
        <v>305.06689</v>
      </c>
    </row>
  </sheetData>
  <mergeCells count="2">
    <mergeCell ref="B5:B6"/>
    <mergeCell ref="C6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456C3BEE-A9CC-40EB-A3D9-59B2FD17374D}">
            <xm:f>Sheet1!$D$5</xm:f>
            <xm:f>Sheet1!$E$5</xm:f>
            <x14:dxf>
              <numFmt numFmtId="174" formatCode="&quot;&lt; 0.1&quot;"/>
            </x14:dxf>
          </x14:cfRule>
          <xm:sqref>C8:D9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Index!$E$31</f>
        <v>Standing volume</v>
      </c>
    </row>
  </sheetData>
  <hyperlinks>
    <hyperlink ref="A1" location="Index!B25" display="Return to index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59999389629810485"/>
  </sheetPr>
  <dimension ref="B3:F31"/>
  <sheetViews>
    <sheetView topLeftCell="A25"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146</v>
      </c>
      <c r="C3" t="s">
        <v>437</v>
      </c>
    </row>
    <row r="5" spans="2:6" ht="15" customHeight="1" x14ac:dyDescent="0.2">
      <c r="B5" s="1073" t="s">
        <v>77</v>
      </c>
      <c r="C5" s="174" t="s">
        <v>78</v>
      </c>
      <c r="D5" s="1075" t="s">
        <v>79</v>
      </c>
      <c r="E5" s="1075"/>
      <c r="F5" s="251" t="s">
        <v>80</v>
      </c>
    </row>
    <row r="6" spans="2:6" ht="30" customHeight="1" x14ac:dyDescent="0.2">
      <c r="B6" s="1074"/>
      <c r="C6" s="173" t="s">
        <v>326</v>
      </c>
      <c r="D6" s="173" t="s">
        <v>326</v>
      </c>
      <c r="E6" s="217" t="s">
        <v>82</v>
      </c>
      <c r="F6" s="252" t="s">
        <v>326</v>
      </c>
    </row>
    <row r="7" spans="2:6" ht="15" customHeight="1" x14ac:dyDescent="0.2">
      <c r="B7" s="220" t="s">
        <v>83</v>
      </c>
      <c r="C7" s="221"/>
      <c r="D7" s="221"/>
      <c r="E7" s="221"/>
      <c r="F7" s="221"/>
    </row>
    <row r="8" spans="2:6" ht="15" customHeight="1" x14ac:dyDescent="0.2">
      <c r="B8" s="222" t="s">
        <v>84</v>
      </c>
      <c r="C8" s="43">
        <f>'Section 3 data'!$D$8</f>
        <v>8794.0450000000001</v>
      </c>
      <c r="D8" s="44">
        <f>'Section 3 data'!$E$8</f>
        <v>11322.37</v>
      </c>
      <c r="E8" s="205">
        <f>'Section 3 data'!$F$8</f>
        <v>8.0702506656865545</v>
      </c>
      <c r="F8" s="206">
        <f>SUM(C8,D8)</f>
        <v>20116.415000000001</v>
      </c>
    </row>
    <row r="9" spans="2:6" ht="15" customHeight="1" x14ac:dyDescent="0.2">
      <c r="B9" s="222" t="s">
        <v>85</v>
      </c>
      <c r="C9" s="43">
        <f>'Section 3 data'!$D$9</f>
        <v>3869.06</v>
      </c>
      <c r="D9" s="44">
        <f>'Section 3 data'!$E$9</f>
        <v>14865.377</v>
      </c>
      <c r="E9" s="205">
        <f>'Section 3 data'!$F$9</f>
        <v>5.2397247015517268</v>
      </c>
      <c r="F9" s="206">
        <f t="shared" ref="F9:F16" si="0">SUM(C9,D9)</f>
        <v>18734.437000000002</v>
      </c>
    </row>
    <row r="10" spans="2:6" ht="15" customHeight="1" x14ac:dyDescent="0.2">
      <c r="B10" s="222" t="s">
        <v>86</v>
      </c>
      <c r="C10" s="43">
        <f>'Section 3 data'!$D$10</f>
        <v>5381.973</v>
      </c>
      <c r="D10" s="44">
        <f>'Section 3 data'!$E$10</f>
        <v>4813.3469999999998</v>
      </c>
      <c r="E10" s="205">
        <f>'Section 3 data'!$F$10</f>
        <v>9.5708865979544431</v>
      </c>
      <c r="F10" s="206">
        <f t="shared" si="0"/>
        <v>10195.32</v>
      </c>
    </row>
    <row r="11" spans="2:6" ht="15" customHeight="1" x14ac:dyDescent="0.2">
      <c r="B11" s="222" t="s">
        <v>87</v>
      </c>
      <c r="C11" s="43">
        <f>'Section 3 data'!$D$11</f>
        <v>1674.4849999999999</v>
      </c>
      <c r="D11" s="44">
        <f>'Section 3 data'!$E$11</f>
        <v>6980.5320000000002</v>
      </c>
      <c r="E11" s="205">
        <f>'Section 3 data'!$F$11</f>
        <v>7.8754902144785328</v>
      </c>
      <c r="F11" s="206">
        <f t="shared" si="0"/>
        <v>8655.0169999999998</v>
      </c>
    </row>
    <row r="12" spans="2:6" ht="15" customHeight="1" x14ac:dyDescent="0.2">
      <c r="B12" s="222" t="s">
        <v>88</v>
      </c>
      <c r="C12" s="43">
        <f>'Section 3 data'!$D$12</f>
        <v>1677.8589999999999</v>
      </c>
      <c r="D12" s="44">
        <f>'Section 3 data'!$E$12</f>
        <v>10778.144</v>
      </c>
      <c r="E12" s="205">
        <f>'Section 3 data'!$F$12</f>
        <v>5.8904734254558937</v>
      </c>
      <c r="F12" s="206">
        <f t="shared" si="0"/>
        <v>12456.003000000001</v>
      </c>
    </row>
    <row r="13" spans="2:6" ht="15" customHeight="1" x14ac:dyDescent="0.2">
      <c r="B13" s="222" t="s">
        <v>89</v>
      </c>
      <c r="C13" s="43">
        <f>'Section 3 data'!$D$13</f>
        <v>2637.7750000000001</v>
      </c>
      <c r="D13" s="44">
        <f>'Section 3 data'!$E$13</f>
        <v>6388.1040000000003</v>
      </c>
      <c r="E13" s="205">
        <f>'Section 3 data'!$F$13</f>
        <v>9.7783528008919944</v>
      </c>
      <c r="F13" s="206">
        <f t="shared" si="0"/>
        <v>9025.8790000000008</v>
      </c>
    </row>
    <row r="14" spans="2:6" ht="15" customHeight="1" x14ac:dyDescent="0.2">
      <c r="B14" s="222" t="s">
        <v>90</v>
      </c>
      <c r="C14" s="43">
        <f>'Section 3 data'!$D$14</f>
        <v>813.91800000000001</v>
      </c>
      <c r="D14" s="44">
        <f>'Section 3 data'!$E$14</f>
        <v>1011.795</v>
      </c>
      <c r="E14" s="205">
        <f>'Section 3 data'!$F$14</f>
        <v>20.883961253261159</v>
      </c>
      <c r="F14" s="206">
        <f t="shared" si="0"/>
        <v>1825.713</v>
      </c>
    </row>
    <row r="15" spans="2:6" ht="15" customHeight="1" x14ac:dyDescent="0.2">
      <c r="B15" s="222" t="s">
        <v>91</v>
      </c>
      <c r="C15" s="43">
        <f>'Section 3 data'!$D$15</f>
        <v>1526.8510000000001</v>
      </c>
      <c r="D15" s="44">
        <f>'Section 3 data'!$E$15</f>
        <v>7420.02</v>
      </c>
      <c r="E15" s="205">
        <f>'Section 3 data'!$F$15</f>
        <v>10.068199482888138</v>
      </c>
      <c r="F15" s="206">
        <f t="shared" si="0"/>
        <v>8946.871000000001</v>
      </c>
    </row>
    <row r="16" spans="2:6" ht="15" customHeight="1" x14ac:dyDescent="0.2">
      <c r="B16" s="226" t="s">
        <v>92</v>
      </c>
      <c r="C16" s="207">
        <f>'Section 3 data'!$D$6</f>
        <v>26375.967000000001</v>
      </c>
      <c r="D16" s="208">
        <f>'Section 3 data'!$E$6</f>
        <v>63619.548999999999</v>
      </c>
      <c r="E16" s="209">
        <f>'Section 3 data'!$F$6</f>
        <v>2.44942320338764</v>
      </c>
      <c r="F16" s="210">
        <f t="shared" si="0"/>
        <v>89995.516000000003</v>
      </c>
    </row>
    <row r="17" spans="2:6" ht="15" customHeight="1" x14ac:dyDescent="0.2">
      <c r="B17" s="220" t="s">
        <v>93</v>
      </c>
      <c r="C17" s="204"/>
      <c r="D17" s="204"/>
      <c r="E17" s="913"/>
      <c r="F17" s="204"/>
    </row>
    <row r="18" spans="2:6" ht="15" customHeight="1" x14ac:dyDescent="0.2">
      <c r="B18" s="222" t="s">
        <v>94</v>
      </c>
      <c r="C18" s="43">
        <f>'Section 3 data'!$D$16</f>
        <v>3345.3009999999999</v>
      </c>
      <c r="D18" s="44">
        <f>'Section 3 data'!$E$16</f>
        <v>50885.180999999997</v>
      </c>
      <c r="E18" s="205">
        <f>'Section 3 data'!$F$16</f>
        <v>3.4947469097501185</v>
      </c>
      <c r="F18" s="206">
        <f t="shared" ref="F18:F29" si="1">SUM(C18,D18)</f>
        <v>54230.481999999996</v>
      </c>
    </row>
    <row r="19" spans="2:6" ht="15" customHeight="1" x14ac:dyDescent="0.2">
      <c r="B19" s="222" t="s">
        <v>95</v>
      </c>
      <c r="C19" s="43">
        <f>'Section 3 data'!$D$17</f>
        <v>2802.3789999999999</v>
      </c>
      <c r="D19" s="44">
        <f>'Section 3 data'!$E$17</f>
        <v>19173.143</v>
      </c>
      <c r="E19" s="205">
        <f>'Section 3 data'!$F$17</f>
        <v>6.3898607170482187</v>
      </c>
      <c r="F19" s="206">
        <f t="shared" si="1"/>
        <v>21975.522000000001</v>
      </c>
    </row>
    <row r="20" spans="2:6" ht="15" customHeight="1" x14ac:dyDescent="0.2">
      <c r="B20" s="222" t="s">
        <v>96</v>
      </c>
      <c r="C20" s="43">
        <f>'Section 3 data'!$D$18</f>
        <v>150.345</v>
      </c>
      <c r="D20" s="44">
        <f>'Section 3 data'!$E$18</f>
        <v>16253.43</v>
      </c>
      <c r="E20" s="205">
        <f>'Section 3 data'!$F$18</f>
        <v>5.9722187130328406</v>
      </c>
      <c r="F20" s="206">
        <f t="shared" si="1"/>
        <v>16403.775000000001</v>
      </c>
    </row>
    <row r="21" spans="2:6" ht="15" customHeight="1" x14ac:dyDescent="0.2">
      <c r="B21" s="222" t="s">
        <v>97</v>
      </c>
      <c r="C21" s="43">
        <f>'Section 3 data'!$D$19</f>
        <v>417.30799999999999</v>
      </c>
      <c r="D21" s="44">
        <f>'Section 3 data'!$E$19</f>
        <v>29304.577000000001</v>
      </c>
      <c r="E21" s="205">
        <f>'Section 3 data'!$F$19</f>
        <v>4.1090444887909863</v>
      </c>
      <c r="F21" s="206">
        <f t="shared" si="1"/>
        <v>29721.885000000002</v>
      </c>
    </row>
    <row r="22" spans="2:6" ht="15" customHeight="1" x14ac:dyDescent="0.2">
      <c r="B22" s="222" t="s">
        <v>98</v>
      </c>
      <c r="C22" s="43">
        <f>'Section 3 data'!$D$20</f>
        <v>505.714</v>
      </c>
      <c r="D22" s="44">
        <f>'Section 3 data'!$E$20</f>
        <v>11383.196</v>
      </c>
      <c r="E22" s="205">
        <f>'Section 3 data'!$F$20</f>
        <v>4.2546292872472886</v>
      </c>
      <c r="F22" s="206">
        <f t="shared" si="1"/>
        <v>11888.91</v>
      </c>
    </row>
    <row r="23" spans="2:6" ht="15" customHeight="1" x14ac:dyDescent="0.2">
      <c r="B23" s="222" t="s">
        <v>99</v>
      </c>
      <c r="C23" s="43">
        <f>'Section 3 data'!$D$21</f>
        <v>126.63800000000001</v>
      </c>
      <c r="D23" s="44">
        <f>'Section 3 data'!$E$21</f>
        <v>7944.4719999999998</v>
      </c>
      <c r="E23" s="205">
        <f>'Section 3 data'!$F$21</f>
        <v>8.6048188787624422</v>
      </c>
      <c r="F23" s="206">
        <f t="shared" si="1"/>
        <v>8071.11</v>
      </c>
    </row>
    <row r="24" spans="2:6" ht="15" customHeight="1" x14ac:dyDescent="0.2">
      <c r="B24" s="222" t="s">
        <v>100</v>
      </c>
      <c r="C24" s="43">
        <f>'Section 3 data'!$D$22</f>
        <v>46.287999999999997</v>
      </c>
      <c r="D24" s="44">
        <f>'Section 3 data'!$E$22</f>
        <v>4717.8090000000002</v>
      </c>
      <c r="E24" s="205">
        <f>'Section 3 data'!$F$22</f>
        <v>5.5567851883451347</v>
      </c>
      <c r="F24" s="206">
        <f t="shared" si="1"/>
        <v>4764.0969999999998</v>
      </c>
    </row>
    <row r="25" spans="2:6" ht="15" customHeight="1" x14ac:dyDescent="0.2">
      <c r="B25" s="222" t="s">
        <v>101</v>
      </c>
      <c r="C25" s="43">
        <f>'Section 3 data'!$D$23</f>
        <v>8.3000000000000004E-2</v>
      </c>
      <c r="D25" s="44">
        <f>'Section 3 data'!$E$23</f>
        <v>2644.65</v>
      </c>
      <c r="E25" s="205">
        <f>'Section 3 data'!$F$23</f>
        <v>6.0094883944872581</v>
      </c>
      <c r="F25" s="206">
        <f t="shared" si="1"/>
        <v>2644.7330000000002</v>
      </c>
    </row>
    <row r="26" spans="2:6" ht="15" customHeight="1" x14ac:dyDescent="0.2">
      <c r="B26" s="222" t="s">
        <v>102</v>
      </c>
      <c r="C26" s="43">
        <f>'Section 3 data'!$D$24</f>
        <v>70.191999999999993</v>
      </c>
      <c r="D26" s="44">
        <f>'Section 3 data'!$E$24</f>
        <v>6693.2169999999996</v>
      </c>
      <c r="E26" s="205">
        <f>'Section 3 data'!$F$24</f>
        <v>7.6870122588061376</v>
      </c>
      <c r="F26" s="206">
        <f t="shared" si="1"/>
        <v>6763.4089999999997</v>
      </c>
    </row>
    <row r="27" spans="2:6" ht="15" customHeight="1" x14ac:dyDescent="0.2">
      <c r="B27" s="222" t="s">
        <v>103</v>
      </c>
      <c r="C27" s="43">
        <f>'Section 3 data'!$D$25</f>
        <v>0.80400000000000005</v>
      </c>
      <c r="D27" s="44">
        <f>'Section 3 data'!$E$25</f>
        <v>4747.4430000000002</v>
      </c>
      <c r="E27" s="205">
        <f>'Section 3 data'!$F$25</f>
        <v>7.956484250111699</v>
      </c>
      <c r="F27" s="206">
        <f t="shared" si="1"/>
        <v>4748.2470000000003</v>
      </c>
    </row>
    <row r="28" spans="2:6" ht="15" customHeight="1" x14ac:dyDescent="0.2">
      <c r="B28" s="222" t="s">
        <v>104</v>
      </c>
      <c r="C28" s="43">
        <f>'Section 3 data'!$D$26</f>
        <v>1295.914</v>
      </c>
      <c r="D28" s="44">
        <f>'Section 3 data'!$E$26</f>
        <v>15492.971</v>
      </c>
      <c r="E28" s="205">
        <f>'Section 3 data'!$F$26</f>
        <v>5.4802353311227021</v>
      </c>
      <c r="F28" s="206">
        <f t="shared" si="1"/>
        <v>16788.884999999998</v>
      </c>
    </row>
    <row r="29" spans="2:6" ht="15" customHeight="1" x14ac:dyDescent="0.2">
      <c r="B29" s="226" t="s">
        <v>105</v>
      </c>
      <c r="C29" s="207">
        <f>'Section 3 data'!$D$7</f>
        <v>8760.9670000000006</v>
      </c>
      <c r="D29" s="208">
        <f>'Section 3 data'!$E$7</f>
        <v>169181.13</v>
      </c>
      <c r="E29" s="209">
        <f>'Section 3 data'!$F$7</f>
        <v>1.6188044985800498</v>
      </c>
      <c r="F29" s="210">
        <f t="shared" si="1"/>
        <v>177942.09700000001</v>
      </c>
    </row>
    <row r="30" spans="2:6" ht="15" customHeight="1" x14ac:dyDescent="0.2">
      <c r="B30" s="220" t="s">
        <v>106</v>
      </c>
      <c r="C30" s="211"/>
      <c r="D30" s="211"/>
      <c r="E30" s="5"/>
      <c r="F30" s="211"/>
    </row>
    <row r="31" spans="2:6" ht="15" customHeight="1" x14ac:dyDescent="0.2">
      <c r="B31" s="226" t="s">
        <v>106</v>
      </c>
      <c r="C31" s="207">
        <f>'Section 3 data'!$D$5</f>
        <v>35136.934000000001</v>
      </c>
      <c r="D31" s="208">
        <f>'Section 3 data'!$E$5</f>
        <v>232722.22099999999</v>
      </c>
      <c r="E31" s="209">
        <f>'Section 3 data'!$F$5</f>
        <v>1.3249205983688215</v>
      </c>
      <c r="F31" s="210">
        <f>SUM(C31,D31)</f>
        <v>267859.15499999997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5E6B028-3342-4079-80E2-282C7BF3A06C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3140D17D-A421-43E4-9A37-2E9AA0356F82}">
            <xm:f>Sheet1!$D$4</xm:f>
            <xm:f>Sheet1!$E$4</xm:f>
            <x14:dxf>
              <numFmt numFmtId="173" formatCode="&quot;&lt; 1&quot;"/>
            </x14:dxf>
          </x14:cfRule>
          <xm:sqref>C8:D16 F8:F16 C18:D29 F18:F29 C31:D31 F31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G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147</v>
      </c>
      <c r="C3" t="s">
        <v>824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704" t="s">
        <v>78</v>
      </c>
      <c r="D6" s="1059" t="s">
        <v>79</v>
      </c>
      <c r="E6" s="1059"/>
      <c r="F6" s="705" t="s">
        <v>80</v>
      </c>
      <c r="G6" s="23"/>
    </row>
    <row r="7" spans="2:7" ht="30" customHeight="1" x14ac:dyDescent="0.2">
      <c r="B7" s="1034"/>
      <c r="C7" s="1060" t="s">
        <v>326</v>
      </c>
      <c r="D7" s="1034"/>
      <c r="E7" s="706" t="s">
        <v>82</v>
      </c>
      <c r="F7" s="705" t="s">
        <v>326</v>
      </c>
      <c r="G7" s="23"/>
    </row>
    <row r="8" spans="2:7" ht="15" customHeight="1" x14ac:dyDescent="0.2">
      <c r="B8" s="707" t="str">
        <f>Index!$B$4</f>
        <v>England</v>
      </c>
      <c r="C8" s="847">
        <f>'Section 3 data country'!$G$6</f>
        <v>26375.967000000001</v>
      </c>
      <c r="D8" s="208">
        <f>'Section 3 data country'!$H$6</f>
        <v>63619.548999999999</v>
      </c>
      <c r="E8" s="209">
        <f>'Section 3 data country'!$I$6</f>
        <v>2.44942320338764</v>
      </c>
      <c r="F8" s="210">
        <f>SUM(C8,D8)</f>
        <v>89995.516000000003</v>
      </c>
      <c r="G8" s="709"/>
    </row>
    <row r="9" spans="2:7" ht="15" customHeight="1" x14ac:dyDescent="0.2">
      <c r="B9" s="710" t="s">
        <v>286</v>
      </c>
      <c r="C9" s="848">
        <f>'Section 3 data country'!$G$7</f>
        <v>2712.08</v>
      </c>
      <c r="D9" s="849">
        <f>'Section 3 data country'!$H$7</f>
        <v>6126.6009999999997</v>
      </c>
      <c r="E9" s="214">
        <f>'Section 3 data country'!$I$7</f>
        <v>7.2</v>
      </c>
      <c r="F9" s="852">
        <f t="shared" ref="F9:F22" si="0">SUM(C9,D9)</f>
        <v>8838.6810000000005</v>
      </c>
      <c r="G9" s="23"/>
    </row>
    <row r="10" spans="2:7" ht="15" customHeight="1" x14ac:dyDescent="0.2">
      <c r="B10" s="710" t="s">
        <v>298</v>
      </c>
      <c r="C10" s="848">
        <f>'Section 3 data country'!$G$8</f>
        <v>1821.8979999999999</v>
      </c>
      <c r="D10" s="849">
        <f>'Section 3 data country'!$H$8</f>
        <v>6429.5550000000003</v>
      </c>
      <c r="E10" s="214">
        <f>'Section 3 data country'!$I$8</f>
        <v>7.14</v>
      </c>
      <c r="F10" s="852">
        <f t="shared" si="0"/>
        <v>8251.4529999999995</v>
      </c>
      <c r="G10" s="703"/>
    </row>
    <row r="11" spans="2:7" ht="15" customHeight="1" x14ac:dyDescent="0.2">
      <c r="B11" s="710" t="s">
        <v>287</v>
      </c>
      <c r="C11" s="848">
        <f>'Section 3 data country'!$G$9</f>
        <v>3382.819</v>
      </c>
      <c r="D11" s="849">
        <f>'Section 3 data country'!$H$9</f>
        <v>4079.4380000000001</v>
      </c>
      <c r="E11" s="214">
        <f>'Section 3 data country'!$I$9</f>
        <v>7.87</v>
      </c>
      <c r="F11" s="852">
        <f t="shared" si="0"/>
        <v>7462.2569999999996</v>
      </c>
      <c r="G11" s="703"/>
    </row>
    <row r="12" spans="2:7" ht="15" customHeight="1" x14ac:dyDescent="0.2">
      <c r="B12" s="710" t="s">
        <v>288</v>
      </c>
      <c r="C12" s="848">
        <f>'Section 3 data country'!$G$10</f>
        <v>1088.232</v>
      </c>
      <c r="D12" s="849">
        <f>'Section 3 data country'!$H$10</f>
        <v>2411.3879999999999</v>
      </c>
      <c r="E12" s="214">
        <f>'Section 3 data country'!$I$10</f>
        <v>12.68</v>
      </c>
      <c r="F12" s="852">
        <f t="shared" si="0"/>
        <v>3499.62</v>
      </c>
      <c r="G12" s="703"/>
    </row>
    <row r="13" spans="2:7" ht="15" customHeight="1" x14ac:dyDescent="0.2">
      <c r="B13" s="710" t="s">
        <v>301</v>
      </c>
      <c r="C13" s="848">
        <f>'Section 3 data country'!$G$11</f>
        <v>128.36199999999999</v>
      </c>
      <c r="D13" s="849">
        <f>'Section 3 data country'!$H$11</f>
        <v>600.87199999999996</v>
      </c>
      <c r="E13" s="214">
        <f>'Section 3 data country'!$I$11</f>
        <v>18.899999999999999</v>
      </c>
      <c r="F13" s="852">
        <f t="shared" si="0"/>
        <v>729.23399999999992</v>
      </c>
      <c r="G13" s="703"/>
    </row>
    <row r="14" spans="2:7" ht="15" customHeight="1" x14ac:dyDescent="0.2">
      <c r="B14" s="710" t="s">
        <v>302</v>
      </c>
      <c r="C14" s="848">
        <f>'Section 3 data country'!$G$12</f>
        <v>50.957999999999998</v>
      </c>
      <c r="D14" s="849">
        <f>'Section 3 data country'!$H$12</f>
        <v>924.99400000000003</v>
      </c>
      <c r="E14" s="214">
        <f>'Section 3 data country'!$I$12</f>
        <v>17.899999999999999</v>
      </c>
      <c r="F14" s="852">
        <f t="shared" si="0"/>
        <v>975.952</v>
      </c>
    </row>
    <row r="15" spans="2:7" ht="15" customHeight="1" x14ac:dyDescent="0.2">
      <c r="B15" s="710" t="s">
        <v>303</v>
      </c>
      <c r="C15" s="848">
        <f>'Section 3 data country'!$G$13</f>
        <v>536.35400000000004</v>
      </c>
      <c r="D15" s="849">
        <f>'Section 3 data country'!$H$13</f>
        <v>2822.6860000000001</v>
      </c>
      <c r="E15" s="214">
        <f>'Section 3 data country'!$I$13</f>
        <v>10.39</v>
      </c>
      <c r="F15" s="852">
        <f t="shared" si="0"/>
        <v>3359.04</v>
      </c>
    </row>
    <row r="16" spans="2:7" ht="15" customHeight="1" x14ac:dyDescent="0.2">
      <c r="B16" s="710" t="s">
        <v>304</v>
      </c>
      <c r="C16" s="848">
        <f>'Section 3 data country'!$G$14</f>
        <v>701.005</v>
      </c>
      <c r="D16" s="849">
        <f>'Section 3 data country'!$H$14</f>
        <v>1162.385</v>
      </c>
      <c r="E16" s="214">
        <f>'Section 3 data country'!$I$14</f>
        <v>12.31</v>
      </c>
      <c r="F16" s="852">
        <f t="shared" si="0"/>
        <v>1863.3899999999999</v>
      </c>
    </row>
    <row r="17" spans="2:6" ht="15" customHeight="1" x14ac:dyDescent="0.2">
      <c r="B17" s="710" t="s">
        <v>291</v>
      </c>
      <c r="C17" s="848">
        <f>'Section 3 data country'!$G$15</f>
        <v>6610.5060000000003</v>
      </c>
      <c r="D17" s="849">
        <f>'Section 3 data country'!$H$15</f>
        <v>8211.4609999999993</v>
      </c>
      <c r="E17" s="214">
        <f>'Section 3 data country'!$I$15</f>
        <v>7.64</v>
      </c>
      <c r="F17" s="852">
        <f t="shared" si="0"/>
        <v>14821.967000000001</v>
      </c>
    </row>
    <row r="18" spans="2:6" ht="15" customHeight="1" x14ac:dyDescent="0.2">
      <c r="B18" s="710" t="s">
        <v>292</v>
      </c>
      <c r="C18" s="848">
        <f>'Section 3 data country'!$G$16</f>
        <v>2183.2530000000002</v>
      </c>
      <c r="D18" s="849">
        <f>'Section 3 data country'!$H$16</f>
        <v>4713.0029999999997</v>
      </c>
      <c r="E18" s="214">
        <f>'Section 3 data country'!$I$16</f>
        <v>6.44</v>
      </c>
      <c r="F18" s="852">
        <f t="shared" si="0"/>
        <v>6896.2559999999994</v>
      </c>
    </row>
    <row r="19" spans="2:6" ht="15" customHeight="1" x14ac:dyDescent="0.2">
      <c r="B19" s="710" t="s">
        <v>293</v>
      </c>
      <c r="C19" s="848">
        <f>'Section 3 data country'!$G$17</f>
        <v>273.46699999999998</v>
      </c>
      <c r="D19" s="849">
        <f>'Section 3 data country'!$H$17</f>
        <v>5134.9880000000003</v>
      </c>
      <c r="E19" s="214">
        <f>'Section 3 data country'!$I$17</f>
        <v>7</v>
      </c>
      <c r="F19" s="852">
        <f t="shared" si="0"/>
        <v>5408.4549999999999</v>
      </c>
    </row>
    <row r="20" spans="2:6" ht="15" customHeight="1" x14ac:dyDescent="0.2">
      <c r="B20" s="710" t="s">
        <v>294</v>
      </c>
      <c r="C20" s="848">
        <f>'Section 3 data country'!$G$18</f>
        <v>1422.7909999999999</v>
      </c>
      <c r="D20" s="849">
        <f>'Section 3 data country'!$H$18</f>
        <v>6317.1670000000004</v>
      </c>
      <c r="E20" s="214">
        <f>'Section 3 data country'!$I$18</f>
        <v>8.24</v>
      </c>
      <c r="F20" s="852">
        <f t="shared" si="0"/>
        <v>7739.9580000000005</v>
      </c>
    </row>
    <row r="21" spans="2:6" ht="15" customHeight="1" x14ac:dyDescent="0.2">
      <c r="B21" s="710" t="s">
        <v>295</v>
      </c>
      <c r="C21" s="848">
        <f>'Section 3 data country'!$G$19</f>
        <v>3057.8180000000002</v>
      </c>
      <c r="D21" s="849">
        <f>'Section 3 data country'!$H$19</f>
        <v>8707.0329999999994</v>
      </c>
      <c r="E21" s="214">
        <f>'Section 3 data country'!$I$19</f>
        <v>9.33</v>
      </c>
      <c r="F21" s="852">
        <f t="shared" si="0"/>
        <v>11764.850999999999</v>
      </c>
    </row>
    <row r="22" spans="2:6" ht="15" customHeight="1" x14ac:dyDescent="0.2">
      <c r="B22" s="714" t="s">
        <v>296</v>
      </c>
      <c r="C22" s="850">
        <f>'Section 3 data country'!$G$20</f>
        <v>2406.424</v>
      </c>
      <c r="D22" s="851">
        <f>'Section 3 data country'!$H$20</f>
        <v>5977.9780000000001</v>
      </c>
      <c r="E22" s="717">
        <f>'Section 3 data country'!$I$20</f>
        <v>6.12</v>
      </c>
      <c r="F22" s="853">
        <f t="shared" si="0"/>
        <v>8384.402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570C51E5-8BD8-41AA-8D39-FC3B6D1DEEF3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3" id="{54D4685A-6303-4710-8E05-267285F4E79C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151</v>
      </c>
      <c r="C3" t="s">
        <v>825</v>
      </c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30" customHeight="1" x14ac:dyDescent="0.2">
      <c r="B7" s="1034"/>
      <c r="C7" s="1060" t="s">
        <v>326</v>
      </c>
      <c r="D7" s="1034"/>
      <c r="E7" s="706" t="s">
        <v>82</v>
      </c>
      <c r="F7" s="953" t="s">
        <v>326</v>
      </c>
    </row>
    <row r="8" spans="2:6" ht="15" customHeight="1" x14ac:dyDescent="0.2">
      <c r="B8" s="707" t="str">
        <f>Index!$B$4</f>
        <v>England</v>
      </c>
      <c r="C8" s="847">
        <f>'Section 3 data country'!$K$6</f>
        <v>8760.9670000000006</v>
      </c>
      <c r="D8" s="208">
        <f>'Section 3 data country'!$L$6</f>
        <v>169181.13</v>
      </c>
      <c r="E8" s="854">
        <f>'Section 3 data country'!$M$6</f>
        <v>1.6188044985800498</v>
      </c>
      <c r="F8" s="210">
        <f>SUM(C8,D8)</f>
        <v>177942.09700000001</v>
      </c>
    </row>
    <row r="9" spans="2:6" ht="15" customHeight="1" x14ac:dyDescent="0.2">
      <c r="B9" s="710" t="s">
        <v>286</v>
      </c>
      <c r="C9" s="848">
        <f>'Section 3 data country'!$K$7</f>
        <v>347.90800000000002</v>
      </c>
      <c r="D9" s="849">
        <f>'Section 3 data country'!$L$7</f>
        <v>7377.8130000000001</v>
      </c>
      <c r="E9" s="855">
        <f>'Section 3 data country'!$M$7</f>
        <v>6.37</v>
      </c>
      <c r="F9" s="852">
        <f t="shared" ref="F9:F22" si="0">SUM(C9,D9)</f>
        <v>7725.7210000000005</v>
      </c>
    </row>
    <row r="10" spans="2:6" ht="15" customHeight="1" x14ac:dyDescent="0.2">
      <c r="B10" s="710" t="s">
        <v>298</v>
      </c>
      <c r="C10" s="848">
        <f>'Section 3 data country'!$K$8</f>
        <v>293.49099999999999</v>
      </c>
      <c r="D10" s="849">
        <f>'Section 3 data country'!$L$8</f>
        <v>17157.629000000001</v>
      </c>
      <c r="E10" s="855">
        <f>'Section 3 data country'!$M$8</f>
        <v>5.69</v>
      </c>
      <c r="F10" s="852">
        <f t="shared" si="0"/>
        <v>17451.120000000003</v>
      </c>
    </row>
    <row r="11" spans="2:6" ht="15" customHeight="1" x14ac:dyDescent="0.2">
      <c r="B11" s="710" t="s">
        <v>287</v>
      </c>
      <c r="C11" s="848">
        <f>'Section 3 data country'!$K$9</f>
        <v>538.20299999999997</v>
      </c>
      <c r="D11" s="849">
        <f>'Section 3 data country'!$L$9</f>
        <v>15643.007</v>
      </c>
      <c r="E11" s="855">
        <f>'Section 3 data country'!$M$9</f>
        <v>5.31</v>
      </c>
      <c r="F11" s="852">
        <f t="shared" si="0"/>
        <v>16181.21</v>
      </c>
    </row>
    <row r="12" spans="2:6" ht="15" customHeight="1" x14ac:dyDescent="0.2">
      <c r="B12" s="710" t="s">
        <v>288</v>
      </c>
      <c r="C12" s="848">
        <f>'Section 3 data country'!$K$10</f>
        <v>220.55799999999999</v>
      </c>
      <c r="D12" s="849">
        <f>'Section 3 data country'!$L$10</f>
        <v>5928.0720000000001</v>
      </c>
      <c r="E12" s="855">
        <f>'Section 3 data country'!$M$10</f>
        <v>9.48</v>
      </c>
      <c r="F12" s="852">
        <f t="shared" si="0"/>
        <v>6148.63</v>
      </c>
    </row>
    <row r="13" spans="2:6" ht="15" customHeight="1" x14ac:dyDescent="0.2">
      <c r="B13" s="710" t="s">
        <v>301</v>
      </c>
      <c r="C13" s="848">
        <f>'Section 3 data country'!$K$11</f>
        <v>51.53</v>
      </c>
      <c r="D13" s="849">
        <f>'Section 3 data country'!$L$11</f>
        <v>3994.7280000000001</v>
      </c>
      <c r="E13" s="855">
        <f>'Section 3 data country'!$M$11</f>
        <v>14.1</v>
      </c>
      <c r="F13" s="852">
        <f t="shared" si="0"/>
        <v>4046.2580000000003</v>
      </c>
    </row>
    <row r="14" spans="2:6" ht="15" customHeight="1" x14ac:dyDescent="0.2">
      <c r="B14" s="710" t="s">
        <v>302</v>
      </c>
      <c r="C14" s="848">
        <f>'Section 3 data country'!$K$12</f>
        <v>56.539000000000001</v>
      </c>
      <c r="D14" s="849">
        <f>'Section 3 data country'!$L$12</f>
        <v>5432.7039999999997</v>
      </c>
      <c r="E14" s="855">
        <f>'Section 3 data country'!$M$12</f>
        <v>14.36</v>
      </c>
      <c r="F14" s="852">
        <f t="shared" si="0"/>
        <v>5489.2429999999995</v>
      </c>
    </row>
    <row r="15" spans="2:6" ht="15" customHeight="1" x14ac:dyDescent="0.2">
      <c r="B15" s="710" t="s">
        <v>303</v>
      </c>
      <c r="C15" s="848">
        <f>'Section 3 data country'!$K$13</f>
        <v>358.00900000000001</v>
      </c>
      <c r="D15" s="849">
        <f>'Section 3 data country'!$L$13</f>
        <v>16863.766</v>
      </c>
      <c r="E15" s="855">
        <f>'Section 3 data country'!$M$13</f>
        <v>4.92</v>
      </c>
      <c r="F15" s="852">
        <f t="shared" si="0"/>
        <v>17221.775000000001</v>
      </c>
    </row>
    <row r="16" spans="2:6" ht="15" customHeight="1" x14ac:dyDescent="0.2">
      <c r="B16" s="710" t="s">
        <v>304</v>
      </c>
      <c r="C16" s="848">
        <f>'Section 3 data country'!$K$14</f>
        <v>784.07899999999995</v>
      </c>
      <c r="D16" s="849">
        <f>'Section 3 data country'!$L$14</f>
        <v>6620.7129999999997</v>
      </c>
      <c r="E16" s="855">
        <f>'Section 3 data country'!$M$14</f>
        <v>7.47</v>
      </c>
      <c r="F16" s="852">
        <f t="shared" si="0"/>
        <v>7404.7919999999995</v>
      </c>
    </row>
    <row r="17" spans="2:6" ht="15" customHeight="1" x14ac:dyDescent="0.2">
      <c r="B17" s="710" t="s">
        <v>291</v>
      </c>
      <c r="C17" s="848">
        <f>'Section 3 data country'!$K$15</f>
        <v>120.61</v>
      </c>
      <c r="D17" s="849">
        <f>'Section 3 data country'!$L$15</f>
        <v>5436.1059999999998</v>
      </c>
      <c r="E17" s="855">
        <f>'Section 3 data country'!$M$15</f>
        <v>7.43</v>
      </c>
      <c r="F17" s="852">
        <f t="shared" si="0"/>
        <v>5556.7159999999994</v>
      </c>
    </row>
    <row r="18" spans="2:6" ht="15" customHeight="1" x14ac:dyDescent="0.2">
      <c r="B18" s="710" t="s">
        <v>292</v>
      </c>
      <c r="C18" s="848">
        <f>'Section 3 data country'!$K$16</f>
        <v>3557.924</v>
      </c>
      <c r="D18" s="849">
        <f>'Section 3 data country'!$L$16</f>
        <v>18296.802</v>
      </c>
      <c r="E18" s="855">
        <f>'Section 3 data country'!$M$16</f>
        <v>3.74</v>
      </c>
      <c r="F18" s="852">
        <f t="shared" si="0"/>
        <v>21854.725999999999</v>
      </c>
    </row>
    <row r="19" spans="2:6" ht="15" customHeight="1" x14ac:dyDescent="0.2">
      <c r="B19" s="710" t="s">
        <v>293</v>
      </c>
      <c r="C19" s="848">
        <f>'Section 3 data country'!$K$17</f>
        <v>219.81800000000001</v>
      </c>
      <c r="D19" s="849">
        <f>'Section 3 data country'!$L$17</f>
        <v>16471.534</v>
      </c>
      <c r="E19" s="855">
        <f>'Section 3 data country'!$M$17</f>
        <v>3.95</v>
      </c>
      <c r="F19" s="852">
        <f t="shared" si="0"/>
        <v>16691.351999999999</v>
      </c>
    </row>
    <row r="20" spans="2:6" ht="15" customHeight="1" x14ac:dyDescent="0.2">
      <c r="B20" s="710" t="s">
        <v>294</v>
      </c>
      <c r="C20" s="848">
        <f>'Section 3 data country'!$K$18</f>
        <v>776.69600000000003</v>
      </c>
      <c r="D20" s="849">
        <f>'Section 3 data country'!$L$18</f>
        <v>17087.502</v>
      </c>
      <c r="E20" s="855">
        <f>'Section 3 data country'!$M$18</f>
        <v>5.19</v>
      </c>
      <c r="F20" s="852">
        <f t="shared" si="0"/>
        <v>17864.198</v>
      </c>
    </row>
    <row r="21" spans="2:6" ht="15" customHeight="1" x14ac:dyDescent="0.2">
      <c r="B21" s="710" t="s">
        <v>295</v>
      </c>
      <c r="C21" s="848">
        <f>'Section 3 data country'!$K$19</f>
        <v>1104.704</v>
      </c>
      <c r="D21" s="849">
        <f>'Section 3 data country'!$L$19</f>
        <v>21614.151999999998</v>
      </c>
      <c r="E21" s="855">
        <f>'Section 3 data country'!$M$19</f>
        <v>5.39</v>
      </c>
      <c r="F21" s="852">
        <f t="shared" si="0"/>
        <v>22718.856</v>
      </c>
    </row>
    <row r="22" spans="2:6" ht="15" customHeight="1" x14ac:dyDescent="0.2">
      <c r="B22" s="714" t="s">
        <v>296</v>
      </c>
      <c r="C22" s="850">
        <f>'Section 3 data country'!$K$20</f>
        <v>330.89800000000002</v>
      </c>
      <c r="D22" s="851">
        <f>'Section 3 data country'!$L$20</f>
        <v>11256.602000000001</v>
      </c>
      <c r="E22" s="856">
        <f>'Section 3 data country'!$M$20</f>
        <v>4.5599999999999996</v>
      </c>
      <c r="F22" s="853">
        <f t="shared" si="0"/>
        <v>11587.5</v>
      </c>
    </row>
  </sheetData>
  <mergeCells count="4">
    <mergeCell ref="C7:D7"/>
    <mergeCell ref="B5:B7"/>
    <mergeCell ref="C5:F5"/>
    <mergeCell ref="D6:E6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34DF87EC-FE9E-45D3-A0B5-D428A336740C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2" id="{844FA20F-4C15-4A78-B80A-32F27A48D57E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154</v>
      </c>
      <c r="C3" t="s">
        <v>826</v>
      </c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30" customHeight="1" x14ac:dyDescent="0.2">
      <c r="B7" s="1034"/>
      <c r="C7" s="1060" t="s">
        <v>326</v>
      </c>
      <c r="D7" s="1034"/>
      <c r="E7" s="706" t="s">
        <v>82</v>
      </c>
      <c r="F7" s="953" t="s">
        <v>326</v>
      </c>
    </row>
    <row r="8" spans="2:6" ht="15" customHeight="1" x14ac:dyDescent="0.2">
      <c r="B8" s="707" t="str">
        <f>Index!$B$4</f>
        <v>England</v>
      </c>
      <c r="C8" s="847">
        <f>'Section 3 data country'!$C$6</f>
        <v>35136.934000000001</v>
      </c>
      <c r="D8" s="208">
        <f>'Section 3 data country'!$D$6</f>
        <v>232722.22099999999</v>
      </c>
      <c r="E8" s="854">
        <f>'Section 3 data country'!$E$6</f>
        <v>1.3249205983688215</v>
      </c>
      <c r="F8" s="210">
        <f>SUM(C8,D8)</f>
        <v>267859.15499999997</v>
      </c>
    </row>
    <row r="9" spans="2:6" ht="15" customHeight="1" x14ac:dyDescent="0.2">
      <c r="B9" s="710" t="s">
        <v>286</v>
      </c>
      <c r="C9" s="848">
        <f>'Section 3 data country'!$C$7</f>
        <v>3059.9879999999998</v>
      </c>
      <c r="D9" s="849">
        <f>'Section 3 data country'!$D$7</f>
        <v>13512.279</v>
      </c>
      <c r="E9" s="855">
        <f>'Section 3 data country'!$E$7</f>
        <v>4.5599999999999996</v>
      </c>
      <c r="F9" s="852">
        <f t="shared" ref="F9:F22" si="0">SUM(C9,D9)</f>
        <v>16572.267</v>
      </c>
    </row>
    <row r="10" spans="2:6" ht="15" customHeight="1" x14ac:dyDescent="0.2">
      <c r="B10" s="710" t="s">
        <v>298</v>
      </c>
      <c r="C10" s="848">
        <f>'Section 3 data country'!$C$8</f>
        <v>2115.39</v>
      </c>
      <c r="D10" s="849">
        <f>'Section 3 data country'!$D$8</f>
        <v>23618.437999999998</v>
      </c>
      <c r="E10" s="855">
        <f>'Section 3 data country'!$E$8</f>
        <v>4.5599999999999996</v>
      </c>
      <c r="F10" s="852">
        <f t="shared" si="0"/>
        <v>25733.827999999998</v>
      </c>
    </row>
    <row r="11" spans="2:6" ht="15" customHeight="1" x14ac:dyDescent="0.2">
      <c r="B11" s="710" t="s">
        <v>287</v>
      </c>
      <c r="C11" s="848">
        <f>'Section 3 data country'!$C$9</f>
        <v>3921.0219999999999</v>
      </c>
      <c r="D11" s="849">
        <f>'Section 3 data country'!$D$9</f>
        <v>19729.57</v>
      </c>
      <c r="E11" s="855">
        <f>'Section 3 data country'!$E$9</f>
        <v>4.33</v>
      </c>
      <c r="F11" s="852">
        <f t="shared" si="0"/>
        <v>23650.592000000001</v>
      </c>
    </row>
    <row r="12" spans="2:6" ht="15" customHeight="1" x14ac:dyDescent="0.2">
      <c r="B12" s="710" t="s">
        <v>288</v>
      </c>
      <c r="C12" s="848">
        <f>'Section 3 data country'!$C$10</f>
        <v>1308.79</v>
      </c>
      <c r="D12" s="849">
        <f>'Section 3 data country'!$D$10</f>
        <v>8339.4599999999991</v>
      </c>
      <c r="E12" s="855">
        <f>'Section 3 data country'!$E$10</f>
        <v>7.13</v>
      </c>
      <c r="F12" s="852">
        <f t="shared" si="0"/>
        <v>9648.25</v>
      </c>
    </row>
    <row r="13" spans="2:6" ht="15" customHeight="1" x14ac:dyDescent="0.2">
      <c r="B13" s="710" t="s">
        <v>301</v>
      </c>
      <c r="C13" s="848">
        <f>'Section 3 data country'!$C$11</f>
        <v>179.892</v>
      </c>
      <c r="D13" s="849">
        <f>'Section 3 data country'!$D$11</f>
        <v>4595.5990000000002</v>
      </c>
      <c r="E13" s="855">
        <f>'Section 3 data country'!$E$11</f>
        <v>12.35</v>
      </c>
      <c r="F13" s="852">
        <f t="shared" si="0"/>
        <v>4775.491</v>
      </c>
    </row>
    <row r="14" spans="2:6" ht="15" customHeight="1" x14ac:dyDescent="0.2">
      <c r="B14" s="710" t="s">
        <v>302</v>
      </c>
      <c r="C14" s="848">
        <f>'Section 3 data country'!$C$12</f>
        <v>107.497</v>
      </c>
      <c r="D14" s="849">
        <f>'Section 3 data country'!$D$12</f>
        <v>6357.6980000000003</v>
      </c>
      <c r="E14" s="855">
        <f>'Section 3 data country'!$E$12</f>
        <v>12.52</v>
      </c>
      <c r="F14" s="852">
        <f t="shared" si="0"/>
        <v>6465.1950000000006</v>
      </c>
    </row>
    <row r="15" spans="2:6" ht="15" customHeight="1" x14ac:dyDescent="0.2">
      <c r="B15" s="710" t="s">
        <v>303</v>
      </c>
      <c r="C15" s="848">
        <f>'Section 3 data country'!$C$13</f>
        <v>894.36300000000006</v>
      </c>
      <c r="D15" s="849">
        <f>'Section 3 data country'!$D$13</f>
        <v>19693.312000000002</v>
      </c>
      <c r="E15" s="855">
        <f>'Section 3 data country'!$E$13</f>
        <v>4.33</v>
      </c>
      <c r="F15" s="852">
        <f t="shared" si="0"/>
        <v>20587.675000000003</v>
      </c>
    </row>
    <row r="16" spans="2:6" ht="15" customHeight="1" x14ac:dyDescent="0.2">
      <c r="B16" s="710" t="s">
        <v>304</v>
      </c>
      <c r="C16" s="848">
        <f>'Section 3 data country'!$C$14</f>
        <v>1485.0840000000001</v>
      </c>
      <c r="D16" s="849">
        <f>'Section 3 data country'!$D$14</f>
        <v>7796.9870000000001</v>
      </c>
      <c r="E16" s="855">
        <f>'Section 3 data country'!$E$14</f>
        <v>6.37</v>
      </c>
      <c r="F16" s="852">
        <f t="shared" si="0"/>
        <v>9282.0709999999999</v>
      </c>
    </row>
    <row r="17" spans="2:6" ht="15" customHeight="1" x14ac:dyDescent="0.2">
      <c r="B17" s="710" t="s">
        <v>291</v>
      </c>
      <c r="C17" s="848">
        <f>'Section 3 data country'!$C$15</f>
        <v>6731.116</v>
      </c>
      <c r="D17" s="849">
        <f>'Section 3 data country'!$D$15</f>
        <v>13663.496999999999</v>
      </c>
      <c r="E17" s="855">
        <f>'Section 3 data country'!$E$15</f>
        <v>5.29</v>
      </c>
      <c r="F17" s="852">
        <f t="shared" si="0"/>
        <v>20394.612999999998</v>
      </c>
    </row>
    <row r="18" spans="2:6" ht="15" customHeight="1" x14ac:dyDescent="0.2">
      <c r="B18" s="710" t="s">
        <v>292</v>
      </c>
      <c r="C18" s="848">
        <f>'Section 3 data country'!$C$16</f>
        <v>5741.1769999999997</v>
      </c>
      <c r="D18" s="849">
        <f>'Section 3 data country'!$D$16</f>
        <v>23020.916000000001</v>
      </c>
      <c r="E18" s="855">
        <f>'Section 3 data country'!$E$16</f>
        <v>3.18</v>
      </c>
      <c r="F18" s="852">
        <f t="shared" si="0"/>
        <v>28762.093000000001</v>
      </c>
    </row>
    <row r="19" spans="2:6" ht="15" customHeight="1" x14ac:dyDescent="0.2">
      <c r="B19" s="710" t="s">
        <v>293</v>
      </c>
      <c r="C19" s="848">
        <f>'Section 3 data country'!$C$17</f>
        <v>493.28500000000003</v>
      </c>
      <c r="D19" s="849">
        <f>'Section 3 data country'!$D$17</f>
        <v>21561.99</v>
      </c>
      <c r="E19" s="855">
        <f>'Section 3 data country'!$E$17</f>
        <v>3.33</v>
      </c>
      <c r="F19" s="852">
        <f t="shared" si="0"/>
        <v>22055.275000000001</v>
      </c>
    </row>
    <row r="20" spans="2:6" ht="15" customHeight="1" x14ac:dyDescent="0.2">
      <c r="B20" s="710" t="s">
        <v>294</v>
      </c>
      <c r="C20" s="848">
        <f>'Section 3 data country'!$C$18</f>
        <v>4162.5219999999999</v>
      </c>
      <c r="D20" s="849">
        <f>'Section 3 data country'!$D$18</f>
        <v>23342.064999999999</v>
      </c>
      <c r="E20" s="855">
        <f>'Section 3 data country'!$E$18</f>
        <v>4.28</v>
      </c>
      <c r="F20" s="852">
        <f t="shared" si="0"/>
        <v>27504.587</v>
      </c>
    </row>
    <row r="21" spans="2:6" ht="15" customHeight="1" x14ac:dyDescent="0.2">
      <c r="B21" s="710" t="s">
        <v>295</v>
      </c>
      <c r="C21" s="848">
        <f>'Section 3 data country'!$C$19</f>
        <v>2199.4859999999999</v>
      </c>
      <c r="D21" s="849">
        <f>'Section 3 data country'!$D$19</f>
        <v>30266.026000000002</v>
      </c>
      <c r="E21" s="855">
        <f>'Section 3 data country'!$E$19</f>
        <v>4.7</v>
      </c>
      <c r="F21" s="852">
        <f t="shared" si="0"/>
        <v>32465.512000000002</v>
      </c>
    </row>
    <row r="22" spans="2:6" ht="15" customHeight="1" x14ac:dyDescent="0.2">
      <c r="B22" s="714" t="s">
        <v>296</v>
      </c>
      <c r="C22" s="850">
        <f>'Section 3 data country'!$C$20</f>
        <v>2737.3220000000001</v>
      </c>
      <c r="D22" s="851">
        <f>'Section 3 data country'!$D$20</f>
        <v>17224.383999999998</v>
      </c>
      <c r="E22" s="856">
        <f>'Section 3 data country'!$E$20</f>
        <v>3.48</v>
      </c>
      <c r="F22" s="853">
        <f t="shared" si="0"/>
        <v>19961.705999999998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299CB001-3FBA-46A4-A4D7-DF304C5BC2BE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1" id="{5EC8BD75-C7B2-4C5A-9A74-42B70623D2DC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761</v>
      </c>
      <c r="D5" s="654" t="s">
        <v>761</v>
      </c>
      <c r="E5" s="655" t="s">
        <v>82</v>
      </c>
      <c r="F5" s="654" t="s">
        <v>761</v>
      </c>
      <c r="G5" s="654" t="s">
        <v>761</v>
      </c>
      <c r="H5" s="654" t="s">
        <v>761</v>
      </c>
      <c r="I5" s="655" t="s">
        <v>82</v>
      </c>
      <c r="J5" s="654" t="s">
        <v>761</v>
      </c>
      <c r="K5" s="654" t="s">
        <v>761</v>
      </c>
      <c r="L5" s="654" t="s">
        <v>761</v>
      </c>
      <c r="M5" s="655" t="s">
        <v>82</v>
      </c>
      <c r="N5" s="654" t="s">
        <v>761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">
        <v>721</v>
      </c>
      <c r="C6" s="916">
        <v>207905.27900000001</v>
      </c>
      <c r="D6" s="917">
        <v>1139545.4410000001</v>
      </c>
      <c r="E6" s="662">
        <v>1.2114807274468335</v>
      </c>
      <c r="F6" s="699">
        <f>C6+D6</f>
        <v>1347450.7200000002</v>
      </c>
      <c r="G6" s="916">
        <v>149700.77499999999</v>
      </c>
      <c r="H6" s="917">
        <v>155504.29199999999</v>
      </c>
      <c r="I6" s="662">
        <v>2.9411401766810834</v>
      </c>
      <c r="J6" s="699">
        <f>G6+H6</f>
        <v>305205.06699999998</v>
      </c>
      <c r="K6" s="922">
        <v>58204.506999999998</v>
      </c>
      <c r="L6" s="917">
        <v>983274.19900000002</v>
      </c>
      <c r="M6" s="662">
        <v>1.365053762885452</v>
      </c>
      <c r="N6" s="699">
        <f>K6+L6</f>
        <v>1041478.706</v>
      </c>
      <c r="P6" s="665">
        <f>D6*E6/100</f>
        <v>13805.373398214029</v>
      </c>
      <c r="Q6" s="472">
        <f>H6*I6/100</f>
        <v>4573.599208475468</v>
      </c>
      <c r="R6" s="666">
        <f>L6*M6/100</f>
        <v>13422.221452931286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918">
        <v>26134.491999999998</v>
      </c>
      <c r="D7" s="919">
        <v>62577.341999999997</v>
      </c>
      <c r="E7" s="671">
        <v>4.51</v>
      </c>
      <c r="F7" s="699">
        <f>C7+D7</f>
        <v>88711.834000000003</v>
      </c>
      <c r="G7" s="918">
        <v>21655.496999999999</v>
      </c>
      <c r="H7" s="919">
        <v>17479.114000000001</v>
      </c>
      <c r="I7" s="671">
        <v>9.16</v>
      </c>
      <c r="J7" s="699">
        <f>G7+H7</f>
        <v>39134.611000000004</v>
      </c>
      <c r="K7" s="923">
        <v>4478.9949999999999</v>
      </c>
      <c r="L7" s="919">
        <v>45012.286999999997</v>
      </c>
      <c r="M7" s="671">
        <v>5.59</v>
      </c>
      <c r="N7" s="699">
        <f>K7+L7</f>
        <v>49491.281999999999</v>
      </c>
      <c r="P7" s="665">
        <f>D7*E7/100</f>
        <v>2822.2381241999997</v>
      </c>
      <c r="Q7" s="472">
        <f t="shared" ref="Q7:Q20" si="0">H7*I7/100</f>
        <v>1601.0868424</v>
      </c>
      <c r="R7" s="666">
        <f t="shared" ref="R7:R20" si="1">L7*M7/100</f>
        <v>2516.1868433</v>
      </c>
      <c r="U7" s="668" t="str">
        <f>INDEX($B$7:$N$20,MATCH(1,$F$47:$F$60,FALSE),1)</f>
        <v>West Midlands</v>
      </c>
      <c r="V7" s="697">
        <f>INDEX($B$7:$N$20,MATCH(1,$F$47:$F$60,FALSE),2)</f>
        <v>17600.126</v>
      </c>
      <c r="W7" s="698">
        <f>INDEX($B$7:$N$20,MATCH(1,$F$47:$F$60,FALSE),3)</f>
        <v>122038.25900000001</v>
      </c>
      <c r="X7" s="675">
        <f>INDEX($B$7:$N$20,MATCH(1,$F$47:$F$60,FALSE),4)</f>
        <v>3.61</v>
      </c>
      <c r="Y7" s="699">
        <f>INDEX($B$7:$N$20,MATCH(1,$F$47:$F$60,FALSE),5)</f>
        <v>139638.38500000001</v>
      </c>
      <c r="Z7" s="697">
        <f>INDEX($B$7:$N$20,MATCH(1,$F$47:$F$60,FALSE),6)</f>
        <v>8521.9660000000003</v>
      </c>
      <c r="AA7" s="698">
        <f>INDEX($B$7:$N$20,MATCH(1,$F$47:$F$60,FALSE),7)</f>
        <v>13060.883</v>
      </c>
      <c r="AB7" s="675">
        <f>INDEX($B$7:$N$20,MATCH(1,$F$47:$F$60,FALSE),8)</f>
        <v>9.09</v>
      </c>
      <c r="AC7" s="699">
        <f>INDEX($B$7:$N$20,MATCH(1,$F$47:$F$60,FALSE),9)</f>
        <v>21582.849000000002</v>
      </c>
      <c r="AD7" s="925">
        <f>INDEX($B$7:$N$20,MATCH(1,$F$47:$F$60,FALSE),10)</f>
        <v>9078.16</v>
      </c>
      <c r="AE7" s="698">
        <f>INDEX($B$7:$N$20,MATCH(1,$F$47:$F$60,FALSE),11)</f>
        <v>109116.84299999999</v>
      </c>
      <c r="AF7" s="675">
        <f>INDEX($B$7:$N$20,MATCH(1,$F$47:$F$60,FALSE),12)</f>
        <v>4.0199999999999996</v>
      </c>
      <c r="AG7" s="699">
        <f>INDEX($B$7:$N$20,MATCH(1,$F$47:$F$60,FALSE),13)</f>
        <v>118195.003</v>
      </c>
      <c r="AI7" s="665">
        <f>W7*X7/100</f>
        <v>4405.5811499000001</v>
      </c>
      <c r="AJ7" s="472">
        <f t="shared" ref="AJ7:AJ20" si="2">AA7*AB7/100</f>
        <v>1187.2342646999998</v>
      </c>
      <c r="AK7" s="666">
        <f t="shared" ref="AK7:AK20" si="3">AE7*AF7/100</f>
        <v>4386.4970885999992</v>
      </c>
    </row>
    <row r="8" spans="2:37" ht="15" customHeight="1" x14ac:dyDescent="0.2">
      <c r="B8" s="668" t="s">
        <v>307</v>
      </c>
      <c r="C8" s="918">
        <v>10544.929</v>
      </c>
      <c r="D8" s="919">
        <v>113611.928</v>
      </c>
      <c r="E8" s="671">
        <v>3.79</v>
      </c>
      <c r="F8" s="699">
        <f t="shared" ref="F8:F20" si="4">C8+D8</f>
        <v>124156.857</v>
      </c>
      <c r="G8" s="918">
        <v>7957.8720000000003</v>
      </c>
      <c r="H8" s="919">
        <v>15157.57</v>
      </c>
      <c r="I8" s="671">
        <v>9.6199999999999992</v>
      </c>
      <c r="J8" s="699">
        <f t="shared" ref="J8:J20" si="5">G8+H8</f>
        <v>23115.441999999999</v>
      </c>
      <c r="K8" s="923">
        <v>2587.0569999999998</v>
      </c>
      <c r="L8" s="919">
        <v>98449.111000000004</v>
      </c>
      <c r="M8" s="671">
        <v>4.21</v>
      </c>
      <c r="N8" s="699">
        <f t="shared" ref="N8:N20" si="6">K8+L8</f>
        <v>101036.16800000001</v>
      </c>
      <c r="P8" s="665">
        <f t="shared" ref="P8:P20" si="7">D8*E8/100</f>
        <v>4305.8920711999999</v>
      </c>
      <c r="Q8" s="472">
        <f t="shared" si="0"/>
        <v>1458.158234</v>
      </c>
      <c r="R8" s="666">
        <f t="shared" si="1"/>
        <v>4144.7075731000004</v>
      </c>
      <c r="U8" s="668" t="str">
        <f>INDEX($B$7:$N$20,MATCH(2,$F$47:$F$60,FALSE),1)</f>
        <v>North East</v>
      </c>
      <c r="V8" s="697">
        <f>INDEX($B$7:$N$20,MATCH(2,$F$47:$F$60,FALSE),2)</f>
        <v>60699.254999999997</v>
      </c>
      <c r="W8" s="698">
        <f>INDEX($B$7:$N$20,MATCH(2,$F$47:$F$60,FALSE),3)</f>
        <v>75969.606</v>
      </c>
      <c r="X8" s="675">
        <f>INDEX($B$7:$N$20,MATCH(2,$F$47:$F$60,FALSE),4)</f>
        <v>5.68</v>
      </c>
      <c r="Y8" s="699">
        <f>INDEX($B$7:$N$20,MATCH(2,$F$47:$F$60,FALSE),5)</f>
        <v>136668.861</v>
      </c>
      <c r="Z8" s="697">
        <f>INDEX($B$7:$N$20,MATCH(2,$F$47:$F$60,FALSE),6)</f>
        <v>58021.981</v>
      </c>
      <c r="AA8" s="698">
        <f>INDEX($B$7:$N$20,MATCH(2,$F$47:$F$60,FALSE),7)</f>
        <v>28155.359</v>
      </c>
      <c r="AB8" s="675">
        <f>INDEX($B$7:$N$20,MATCH(2,$F$47:$F$60,FALSE),8)</f>
        <v>9.49</v>
      </c>
      <c r="AC8" s="699">
        <f>INDEX($B$7:$N$20,MATCH(2,$F$47:$F$60,FALSE),9)</f>
        <v>86177.34</v>
      </c>
      <c r="AD8" s="925">
        <f>INDEX($B$7:$N$20,MATCH(2,$F$47:$F$60,FALSE),10)</f>
        <v>2677.2739999999999</v>
      </c>
      <c r="AE8" s="698">
        <f>INDEX($B$7:$N$20,MATCH(2,$F$47:$F$60,FALSE),11)</f>
        <v>47697.063000000002</v>
      </c>
      <c r="AF8" s="675">
        <f>INDEX($B$7:$N$20,MATCH(2,$F$47:$F$60,FALSE),12)</f>
        <v>7.43</v>
      </c>
      <c r="AG8" s="699">
        <f>INDEX($B$7:$N$20,MATCH(2,$F$47:$F$60,FALSE),13)</f>
        <v>50374.337</v>
      </c>
      <c r="AI8" s="665">
        <f t="shared" ref="AI8:AI20" si="8">W8*X8/100</f>
        <v>4315.0736207999998</v>
      </c>
      <c r="AJ8" s="472">
        <f t="shared" si="2"/>
        <v>2671.9435691000003</v>
      </c>
      <c r="AK8" s="666">
        <f t="shared" si="3"/>
        <v>3543.8917809</v>
      </c>
    </row>
    <row r="9" spans="2:37" ht="15" customHeight="1" x14ac:dyDescent="0.2">
      <c r="B9" s="668" t="s">
        <v>287</v>
      </c>
      <c r="C9" s="918">
        <v>23072.591</v>
      </c>
      <c r="D9" s="919">
        <v>105963.91800000001</v>
      </c>
      <c r="E9" s="671">
        <v>4.3099999999999996</v>
      </c>
      <c r="F9" s="699">
        <f t="shared" si="4"/>
        <v>129036.50900000001</v>
      </c>
      <c r="G9" s="918">
        <v>18879.43</v>
      </c>
      <c r="H9" s="919">
        <v>10462.906999999999</v>
      </c>
      <c r="I9" s="671">
        <v>9.36</v>
      </c>
      <c r="J9" s="699">
        <f t="shared" si="5"/>
        <v>29342.337</v>
      </c>
      <c r="K9" s="923">
        <v>4193.1610000000001</v>
      </c>
      <c r="L9" s="919">
        <v>95460.7</v>
      </c>
      <c r="M9" s="671">
        <v>4.79</v>
      </c>
      <c r="N9" s="699">
        <f t="shared" si="6"/>
        <v>99653.861000000004</v>
      </c>
      <c r="P9" s="665">
        <f t="shared" si="7"/>
        <v>4567.0448657999996</v>
      </c>
      <c r="Q9" s="472">
        <f t="shared" si="0"/>
        <v>979.32809519999978</v>
      </c>
      <c r="R9" s="666">
        <f t="shared" si="1"/>
        <v>4572.5675299999994</v>
      </c>
      <c r="U9" s="668" t="str">
        <f>INDEX($B$7:$N$20,MATCH(3,$F$47:$F$60,FALSE),1)</f>
        <v>Kent South London and East Sussex</v>
      </c>
      <c r="V9" s="697">
        <f>INDEX($B$7:$N$20,MATCH(3,$F$47:$F$60,FALSE),2)</f>
        <v>6501.2479999999996</v>
      </c>
      <c r="W9" s="698">
        <f>INDEX($B$7:$N$20,MATCH(3,$F$47:$F$60,FALSE),3)</f>
        <v>128190.28200000001</v>
      </c>
      <c r="X9" s="675">
        <f>INDEX($B$7:$N$20,MATCH(3,$F$47:$F$60,FALSE),4)</f>
        <v>4.63</v>
      </c>
      <c r="Y9" s="699">
        <f>INDEX($B$7:$N$20,MATCH(3,$F$47:$F$60,FALSE),5)</f>
        <v>134691.53</v>
      </c>
      <c r="Z9" s="697">
        <f>INDEX($B$7:$N$20,MATCH(3,$F$47:$F$60,FALSE),6)</f>
        <v>2597.6170000000002</v>
      </c>
      <c r="AA9" s="698">
        <f>INDEX($B$7:$N$20,MATCH(3,$F$47:$F$60,FALSE),7)</f>
        <v>6826.3419999999996</v>
      </c>
      <c r="AB9" s="675">
        <f>INDEX($B$7:$N$20,MATCH(3,$F$47:$F$60,FALSE),8)</f>
        <v>10.94</v>
      </c>
      <c r="AC9" s="699">
        <f>INDEX($B$7:$N$20,MATCH(3,$F$47:$F$60,FALSE),9)</f>
        <v>9423.9589999999989</v>
      </c>
      <c r="AD9" s="925">
        <f>INDEX($B$7:$N$20,MATCH(3,$F$47:$F$60,FALSE),10)</f>
        <v>3903.6309999999999</v>
      </c>
      <c r="AE9" s="698">
        <f>INDEX($B$7:$N$20,MATCH(3,$F$47:$F$60,FALSE),11)</f>
        <v>121344.743</v>
      </c>
      <c r="AF9" s="675">
        <f>INDEX($B$7:$N$20,MATCH(3,$F$47:$F$60,FALSE),12)</f>
        <v>4.88</v>
      </c>
      <c r="AG9" s="699">
        <f>INDEX($B$7:$N$20,MATCH(3,$F$47:$F$60,FALSE),13)</f>
        <v>125248.374</v>
      </c>
      <c r="AI9" s="665">
        <f t="shared" si="8"/>
        <v>5935.2100565999999</v>
      </c>
      <c r="AJ9" s="472">
        <f t="shared" si="2"/>
        <v>746.80181479999999</v>
      </c>
      <c r="AK9" s="666">
        <f t="shared" si="3"/>
        <v>5921.6234583999994</v>
      </c>
    </row>
    <row r="10" spans="2:37" ht="15" customHeight="1" x14ac:dyDescent="0.2">
      <c r="B10" s="668" t="s">
        <v>288</v>
      </c>
      <c r="C10" s="918">
        <v>5171.6210000000001</v>
      </c>
      <c r="D10" s="919">
        <v>45528.826000000001</v>
      </c>
      <c r="E10" s="671">
        <v>6.43</v>
      </c>
      <c r="F10" s="699">
        <f t="shared" si="4"/>
        <v>50700.447</v>
      </c>
      <c r="G10" s="918">
        <v>3794.451</v>
      </c>
      <c r="H10" s="919">
        <v>5483.6</v>
      </c>
      <c r="I10" s="671">
        <v>14.87</v>
      </c>
      <c r="J10" s="699">
        <f t="shared" si="5"/>
        <v>9278.0509999999995</v>
      </c>
      <c r="K10" s="923">
        <v>1377.17</v>
      </c>
      <c r="L10" s="919">
        <v>40045.226000000002</v>
      </c>
      <c r="M10" s="671">
        <v>7.34</v>
      </c>
      <c r="N10" s="699">
        <f t="shared" si="6"/>
        <v>41422.396000000001</v>
      </c>
      <c r="P10" s="665">
        <f t="shared" si="7"/>
        <v>2927.5035118000001</v>
      </c>
      <c r="Q10" s="472">
        <f t="shared" si="0"/>
        <v>815.41131999999993</v>
      </c>
      <c r="R10" s="666">
        <f t="shared" si="1"/>
        <v>2939.3195884000002</v>
      </c>
      <c r="U10" s="668" t="str">
        <f>INDEX($B$7:$N$20,MATCH(4,$F$47:$F$60,FALSE),1)</f>
        <v>East Anglia</v>
      </c>
      <c r="V10" s="697">
        <f>INDEX($B$7:$N$20,MATCH(4,$F$47:$F$60,FALSE),2)</f>
        <v>23072.591</v>
      </c>
      <c r="W10" s="698">
        <f>INDEX($B$7:$N$20,MATCH(4,$F$47:$F$60,FALSE),3)</f>
        <v>105963.91800000001</v>
      </c>
      <c r="X10" s="675">
        <f>INDEX($B$7:$N$20,MATCH(4,$F$47:$F$60,FALSE),4)</f>
        <v>4.3099999999999996</v>
      </c>
      <c r="Y10" s="699">
        <f>INDEX($B$7:$N$20,MATCH(4,$F$47:$F$60,FALSE),5)</f>
        <v>129036.50900000001</v>
      </c>
      <c r="Z10" s="697">
        <f>INDEX($B$7:$N$20,MATCH(4,$F$47:$F$60,FALSE),6)</f>
        <v>18879.43</v>
      </c>
      <c r="AA10" s="698">
        <f>INDEX($B$7:$N$20,MATCH(4,$F$47:$F$60,FALSE),7)</f>
        <v>10462.906999999999</v>
      </c>
      <c r="AB10" s="675">
        <f>INDEX($B$7:$N$20,MATCH(4,$F$47:$F$60,FALSE),8)</f>
        <v>9.36</v>
      </c>
      <c r="AC10" s="699">
        <f>INDEX($B$7:$N$20,MATCH(4,$F$47:$F$60,FALSE),9)</f>
        <v>29342.337</v>
      </c>
      <c r="AD10" s="925">
        <f>INDEX($B$7:$N$20,MATCH(4,$F$47:$F$60,FALSE),10)</f>
        <v>4193.1610000000001</v>
      </c>
      <c r="AE10" s="698">
        <f>INDEX($B$7:$N$20,MATCH(4,$F$47:$F$60,FALSE),11)</f>
        <v>95460.7</v>
      </c>
      <c r="AF10" s="675">
        <f>INDEX($B$7:$N$20,MATCH(4,$F$47:$F$60,FALSE),12)</f>
        <v>4.79</v>
      </c>
      <c r="AG10" s="699">
        <f>INDEX($B$7:$N$20,MATCH(4,$F$47:$F$60,FALSE),13)</f>
        <v>99653.861000000004</v>
      </c>
      <c r="AI10" s="665">
        <f t="shared" si="8"/>
        <v>4567.0448657999996</v>
      </c>
      <c r="AJ10" s="472">
        <f t="shared" si="2"/>
        <v>979.32809519999978</v>
      </c>
      <c r="AK10" s="666">
        <f t="shared" si="3"/>
        <v>4572.5675299999994</v>
      </c>
    </row>
    <row r="11" spans="2:37" ht="15" customHeight="1" x14ac:dyDescent="0.2">
      <c r="B11" s="668" t="s">
        <v>305</v>
      </c>
      <c r="C11" s="918">
        <v>1222.0129999999999</v>
      </c>
      <c r="D11" s="919">
        <v>22610.062999999998</v>
      </c>
      <c r="E11" s="671">
        <v>10.77</v>
      </c>
      <c r="F11" s="699">
        <f t="shared" si="4"/>
        <v>23832.075999999997</v>
      </c>
      <c r="G11" s="918">
        <v>509.09300000000002</v>
      </c>
      <c r="H11" s="919">
        <v>1634.7049999999999</v>
      </c>
      <c r="I11" s="671">
        <v>28.62</v>
      </c>
      <c r="J11" s="699">
        <f t="shared" si="5"/>
        <v>2143.7979999999998</v>
      </c>
      <c r="K11" s="923">
        <v>712.92</v>
      </c>
      <c r="L11" s="919">
        <v>20975.358</v>
      </c>
      <c r="M11" s="671">
        <v>11.96</v>
      </c>
      <c r="N11" s="699">
        <f t="shared" si="6"/>
        <v>21688.277999999998</v>
      </c>
      <c r="P11" s="665">
        <f t="shared" si="7"/>
        <v>2435.1037850999996</v>
      </c>
      <c r="Q11" s="472">
        <f t="shared" si="0"/>
        <v>467.85257100000001</v>
      </c>
      <c r="R11" s="666">
        <f t="shared" si="1"/>
        <v>2508.6528168</v>
      </c>
      <c r="U11" s="668" t="str">
        <f>INDEX($B$7:$N$20,MATCH(5,$F$47:$F$60,FALSE),1)</f>
        <v>Solent and South Downs</v>
      </c>
      <c r="V11" s="697">
        <f>INDEX($B$7:$N$20,MATCH(5,$F$47:$F$60,FALSE),2)</f>
        <v>18891.375</v>
      </c>
      <c r="W11" s="698">
        <f>INDEX($B$7:$N$20,MATCH(5,$F$47:$F$60,FALSE),3)</f>
        <v>108672.41800000001</v>
      </c>
      <c r="X11" s="675">
        <f>INDEX($B$7:$N$20,MATCH(5,$F$47:$F$60,FALSE),4)</f>
        <v>3.26</v>
      </c>
      <c r="Y11" s="699">
        <f>INDEX($B$7:$N$20,MATCH(5,$F$47:$F$60,FALSE),5)</f>
        <v>127563.79300000001</v>
      </c>
      <c r="Z11" s="697">
        <f>INDEX($B$7:$N$20,MATCH(5,$F$47:$F$60,FALSE),6)</f>
        <v>6295.808</v>
      </c>
      <c r="AA11" s="698">
        <f>INDEX($B$7:$N$20,MATCH(5,$F$47:$F$60,FALSE),7)</f>
        <v>11965.755999999999</v>
      </c>
      <c r="AB11" s="675">
        <f>INDEX($B$7:$N$20,MATCH(5,$F$47:$F$60,FALSE),8)</f>
        <v>9.36</v>
      </c>
      <c r="AC11" s="699">
        <f>INDEX($B$7:$N$20,MATCH(5,$F$47:$F$60,FALSE),9)</f>
        <v>18261.563999999998</v>
      </c>
      <c r="AD11" s="925">
        <f>INDEX($B$7:$N$20,MATCH(5,$F$47:$F$60,FALSE),10)</f>
        <v>12595.567999999999</v>
      </c>
      <c r="AE11" s="698">
        <f>INDEX($B$7:$N$20,MATCH(5,$F$47:$F$60,FALSE),11)</f>
        <v>96279.448000000004</v>
      </c>
      <c r="AF11" s="675">
        <f>INDEX($B$7:$N$20,MATCH(5,$F$47:$F$60,FALSE),12)</f>
        <v>3.61</v>
      </c>
      <c r="AG11" s="699">
        <f>INDEX($B$7:$N$20,MATCH(5,$F$47:$F$60,FALSE),13)</f>
        <v>108875.016</v>
      </c>
      <c r="AI11" s="665">
        <f t="shared" si="8"/>
        <v>3542.7208267999999</v>
      </c>
      <c r="AJ11" s="472">
        <f t="shared" si="2"/>
        <v>1119.9947615999999</v>
      </c>
      <c r="AK11" s="666">
        <f t="shared" si="3"/>
        <v>3475.6880728000001</v>
      </c>
    </row>
    <row r="12" spans="2:37" ht="15" customHeight="1" x14ac:dyDescent="0.2">
      <c r="B12" s="668" t="s">
        <v>289</v>
      </c>
      <c r="C12" s="918">
        <v>615.24</v>
      </c>
      <c r="D12" s="919">
        <v>29559.473000000002</v>
      </c>
      <c r="E12" s="671">
        <v>6.72</v>
      </c>
      <c r="F12" s="699">
        <f t="shared" si="4"/>
        <v>30174.713000000003</v>
      </c>
      <c r="G12" s="918">
        <v>152.40199999999999</v>
      </c>
      <c r="H12" s="919">
        <v>2050.7620000000002</v>
      </c>
      <c r="I12" s="671">
        <v>20.78</v>
      </c>
      <c r="J12" s="699">
        <f t="shared" si="5"/>
        <v>2203.1640000000002</v>
      </c>
      <c r="K12" s="923">
        <v>462.83800000000002</v>
      </c>
      <c r="L12" s="919">
        <v>27508.71</v>
      </c>
      <c r="M12" s="671">
        <v>7.28</v>
      </c>
      <c r="N12" s="699">
        <f t="shared" si="6"/>
        <v>27971.547999999999</v>
      </c>
      <c r="P12" s="665">
        <f t="shared" si="7"/>
        <v>1986.3965856000002</v>
      </c>
      <c r="Q12" s="472">
        <f t="shared" si="0"/>
        <v>426.14834360000009</v>
      </c>
      <c r="R12" s="666">
        <f t="shared" si="1"/>
        <v>2002.634088</v>
      </c>
      <c r="U12" s="668" t="str">
        <f>INDEX($B$7:$N$20,MATCH(6,$F$47:$F$60,FALSE),1)</f>
        <v>Devon Cornwall and the Isles of Scilly</v>
      </c>
      <c r="V12" s="697">
        <f>INDEX($B$7:$N$20,MATCH(6,$F$47:$F$60,FALSE),2)</f>
        <v>10544.929</v>
      </c>
      <c r="W12" s="698">
        <f>INDEX($B$7:$N$20,MATCH(6,$F$47:$F$60,FALSE),3)</f>
        <v>113611.928</v>
      </c>
      <c r="X12" s="675">
        <f>INDEX($B$7:$N$20,MATCH(6,$F$47:$F$60,FALSE),4)</f>
        <v>3.79</v>
      </c>
      <c r="Y12" s="699">
        <f>INDEX($B$7:$N$20,MATCH(6,$F$47:$F$60,FALSE),5)</f>
        <v>124156.857</v>
      </c>
      <c r="Z12" s="697">
        <f>INDEX($B$7:$N$20,MATCH(6,$F$47:$F$60,FALSE),6)</f>
        <v>7957.8720000000003</v>
      </c>
      <c r="AA12" s="698">
        <f>INDEX($B$7:$N$20,MATCH(6,$F$47:$F$60,FALSE),7)</f>
        <v>15157.57</v>
      </c>
      <c r="AB12" s="675">
        <f>INDEX($B$7:$N$20,MATCH(6,$F$47:$F$60,FALSE),8)</f>
        <v>9.6199999999999992</v>
      </c>
      <c r="AC12" s="699">
        <f>INDEX($B$7:$N$20,MATCH(6,$F$47:$F$60,FALSE),9)</f>
        <v>23115.441999999999</v>
      </c>
      <c r="AD12" s="925">
        <f>INDEX($B$7:$N$20,MATCH(6,$F$47:$F$60,FALSE),10)</f>
        <v>2587.0569999999998</v>
      </c>
      <c r="AE12" s="698">
        <f>INDEX($B$7:$N$20,MATCH(6,$F$47:$F$60,FALSE),11)</f>
        <v>98449.111000000004</v>
      </c>
      <c r="AF12" s="675">
        <f>INDEX($B$7:$N$20,MATCH(6,$F$47:$F$60,FALSE),12)</f>
        <v>4.21</v>
      </c>
      <c r="AG12" s="699">
        <f>INDEX($B$7:$N$20,MATCH(6,$F$47:$F$60,FALSE),13)</f>
        <v>101036.16800000001</v>
      </c>
      <c r="AI12" s="665">
        <f t="shared" si="8"/>
        <v>4305.8920711999999</v>
      </c>
      <c r="AJ12" s="472">
        <f t="shared" si="2"/>
        <v>1458.158234</v>
      </c>
      <c r="AK12" s="666">
        <f t="shared" si="3"/>
        <v>4144.7075731000004</v>
      </c>
    </row>
    <row r="13" spans="2:37" ht="15" customHeight="1" x14ac:dyDescent="0.2">
      <c r="B13" s="668" t="s">
        <v>306</v>
      </c>
      <c r="C13" s="918">
        <v>6501.2479999999996</v>
      </c>
      <c r="D13" s="919">
        <v>128190.28200000001</v>
      </c>
      <c r="E13" s="671">
        <v>4.63</v>
      </c>
      <c r="F13" s="699">
        <f t="shared" si="4"/>
        <v>134691.53</v>
      </c>
      <c r="G13" s="918">
        <v>2597.6170000000002</v>
      </c>
      <c r="H13" s="919">
        <v>6826.3419999999996</v>
      </c>
      <c r="I13" s="671">
        <v>10.94</v>
      </c>
      <c r="J13" s="699">
        <f t="shared" si="5"/>
        <v>9423.9589999999989</v>
      </c>
      <c r="K13" s="923">
        <v>3903.6309999999999</v>
      </c>
      <c r="L13" s="919">
        <v>121344.743</v>
      </c>
      <c r="M13" s="671">
        <v>4.88</v>
      </c>
      <c r="N13" s="699">
        <f t="shared" si="6"/>
        <v>125248.374</v>
      </c>
      <c r="P13" s="665">
        <f t="shared" si="7"/>
        <v>5935.2100565999999</v>
      </c>
      <c r="Q13" s="472">
        <f t="shared" si="0"/>
        <v>746.80181479999999</v>
      </c>
      <c r="R13" s="666">
        <f t="shared" si="1"/>
        <v>5921.6234583999994</v>
      </c>
      <c r="U13" s="668" t="str">
        <f>INDEX($B$7:$N$20,MATCH(7,$F$47:$F$60,FALSE),1)</f>
        <v>Yorkshire</v>
      </c>
      <c r="V13" s="697">
        <f>INDEX($B$7:$N$20,MATCH(7,$F$47:$F$60,FALSE),2)</f>
        <v>15997.425999999999</v>
      </c>
      <c r="W13" s="698">
        <f>INDEX($B$7:$N$20,MATCH(7,$F$47:$F$60,FALSE),3)</f>
        <v>94047.62</v>
      </c>
      <c r="X13" s="675">
        <f>INDEX($B$7:$N$20,MATCH(7,$F$47:$F$60,FALSE),4)</f>
        <v>3.28</v>
      </c>
      <c r="Y13" s="699">
        <f>INDEX($B$7:$N$20,MATCH(7,$F$47:$F$60,FALSE),5)</f>
        <v>110045.046</v>
      </c>
      <c r="Z13" s="697">
        <f>INDEX($B$7:$N$20,MATCH(7,$F$47:$F$60,FALSE),6)</f>
        <v>13108.904</v>
      </c>
      <c r="AA13" s="698">
        <f>INDEX($B$7:$N$20,MATCH(7,$F$47:$F$60,FALSE),7)</f>
        <v>18485.322</v>
      </c>
      <c r="AB13" s="675">
        <f>INDEX($B$7:$N$20,MATCH(7,$F$47:$F$60,FALSE),8)</f>
        <v>6.7</v>
      </c>
      <c r="AC13" s="699">
        <f>INDEX($B$7:$N$20,MATCH(7,$F$47:$F$60,FALSE),9)</f>
        <v>31594.226000000002</v>
      </c>
      <c r="AD13" s="925">
        <f>INDEX($B$7:$N$20,MATCH(7,$F$47:$F$60,FALSE),10)</f>
        <v>2888.5230000000001</v>
      </c>
      <c r="AE13" s="698">
        <f>INDEX($B$7:$N$20,MATCH(7,$F$47:$F$60,FALSE),11)</f>
        <v>75484.421000000002</v>
      </c>
      <c r="AF13" s="675">
        <f>INDEX($B$7:$N$20,MATCH(7,$F$47:$F$60,FALSE),12)</f>
        <v>3.96</v>
      </c>
      <c r="AG13" s="699">
        <f>INDEX($B$7:$N$20,MATCH(7,$F$47:$F$60,FALSE),13)</f>
        <v>78372.944000000003</v>
      </c>
      <c r="AI13" s="665">
        <f t="shared" si="8"/>
        <v>3084.7619359999994</v>
      </c>
      <c r="AJ13" s="472">
        <f t="shared" si="2"/>
        <v>1238.5165740000002</v>
      </c>
      <c r="AK13" s="666">
        <f t="shared" si="3"/>
        <v>2989.1830716000004</v>
      </c>
    </row>
    <row r="14" spans="2:37" ht="15" customHeight="1" x14ac:dyDescent="0.2">
      <c r="B14" s="668" t="s">
        <v>290</v>
      </c>
      <c r="C14" s="918">
        <v>10051.968999999999</v>
      </c>
      <c r="D14" s="919">
        <v>42679.970999999998</v>
      </c>
      <c r="E14" s="671">
        <v>5.85</v>
      </c>
      <c r="F14" s="699">
        <f t="shared" si="4"/>
        <v>52731.939999999995</v>
      </c>
      <c r="G14" s="918">
        <v>2461.973</v>
      </c>
      <c r="H14" s="919">
        <v>4037.9679999999998</v>
      </c>
      <c r="I14" s="671">
        <v>18.18</v>
      </c>
      <c r="J14" s="699">
        <f t="shared" si="5"/>
        <v>6499.9409999999998</v>
      </c>
      <c r="K14" s="923">
        <v>7589.9960000000001</v>
      </c>
      <c r="L14" s="919">
        <v>38591.752999999997</v>
      </c>
      <c r="M14" s="671">
        <v>6.45</v>
      </c>
      <c r="N14" s="699">
        <f t="shared" si="6"/>
        <v>46181.748999999996</v>
      </c>
      <c r="P14" s="665">
        <f t="shared" si="7"/>
        <v>2496.7783034999998</v>
      </c>
      <c r="Q14" s="472">
        <f t="shared" si="0"/>
        <v>734.10258239999996</v>
      </c>
      <c r="R14" s="666">
        <f t="shared" si="1"/>
        <v>2489.1680685000001</v>
      </c>
      <c r="U14" s="668" t="str">
        <f>INDEX($B$7:$N$20,MATCH(8,$F$47:$F$60,FALSE),1)</f>
        <v>Wessex</v>
      </c>
      <c r="V14" s="697">
        <f>INDEX($B$7:$N$20,MATCH(8,$F$47:$F$60,FALSE),2)</f>
        <v>8917.5840000000007</v>
      </c>
      <c r="W14" s="698">
        <f>INDEX($B$7:$N$20,MATCH(8,$F$47:$F$60,FALSE),3)</f>
        <v>96314.125</v>
      </c>
      <c r="X14" s="675">
        <f>INDEX($B$7:$N$20,MATCH(8,$F$47:$F$60,FALSE),4)</f>
        <v>3.66</v>
      </c>
      <c r="Y14" s="699">
        <f>INDEX($B$7:$N$20,MATCH(8,$F$47:$F$60,FALSE),5)</f>
        <v>105231.709</v>
      </c>
      <c r="Z14" s="697">
        <f>INDEX($B$7:$N$20,MATCH(8,$F$47:$F$60,FALSE),6)</f>
        <v>4918.6819999999998</v>
      </c>
      <c r="AA14" s="698">
        <f>INDEX($B$7:$N$20,MATCH(8,$F$47:$F$60,FALSE),7)</f>
        <v>10318.472</v>
      </c>
      <c r="AB14" s="675">
        <f>INDEX($B$7:$N$20,MATCH(8,$F$47:$F$60,FALSE),8)</f>
        <v>8.02</v>
      </c>
      <c r="AC14" s="699">
        <f>INDEX($B$7:$N$20,MATCH(8,$F$47:$F$60,FALSE),9)</f>
        <v>15237.153999999999</v>
      </c>
      <c r="AD14" s="925">
        <f>INDEX($B$7:$N$20,MATCH(8,$F$47:$F$60,FALSE),10)</f>
        <v>3998.9029999999998</v>
      </c>
      <c r="AE14" s="698">
        <f>INDEX($B$7:$N$20,MATCH(8,$F$47:$F$60,FALSE),11)</f>
        <v>86019.127999999997</v>
      </c>
      <c r="AF14" s="675">
        <f>INDEX($B$7:$N$20,MATCH(8,$F$47:$F$60,FALSE),12)</f>
        <v>4.0599999999999996</v>
      </c>
      <c r="AG14" s="699">
        <f>INDEX($B$7:$N$20,MATCH(8,$F$47:$F$60,FALSE),13)</f>
        <v>90018.031000000003</v>
      </c>
      <c r="AI14" s="665">
        <f t="shared" si="8"/>
        <v>3525.0969749999999</v>
      </c>
      <c r="AJ14" s="472">
        <f t="shared" si="2"/>
        <v>827.54145439999991</v>
      </c>
      <c r="AK14" s="666">
        <f t="shared" si="3"/>
        <v>3492.3765967999998</v>
      </c>
    </row>
    <row r="15" spans="2:37" ht="15" customHeight="1" x14ac:dyDescent="0.2">
      <c r="B15" s="668" t="s">
        <v>291</v>
      </c>
      <c r="C15" s="918">
        <v>60699.254999999997</v>
      </c>
      <c r="D15" s="919">
        <v>75969.606</v>
      </c>
      <c r="E15" s="671">
        <v>5.68</v>
      </c>
      <c r="F15" s="699">
        <f t="shared" si="4"/>
        <v>136668.861</v>
      </c>
      <c r="G15" s="918">
        <v>58021.981</v>
      </c>
      <c r="H15" s="919">
        <v>28155.359</v>
      </c>
      <c r="I15" s="671">
        <v>9.49</v>
      </c>
      <c r="J15" s="699">
        <f t="shared" si="5"/>
        <v>86177.34</v>
      </c>
      <c r="K15" s="923">
        <v>2677.2739999999999</v>
      </c>
      <c r="L15" s="919">
        <v>47697.063000000002</v>
      </c>
      <c r="M15" s="671">
        <v>7.43</v>
      </c>
      <c r="N15" s="699">
        <f t="shared" si="6"/>
        <v>50374.337</v>
      </c>
      <c r="P15" s="665">
        <f t="shared" si="7"/>
        <v>4315.0736207999998</v>
      </c>
      <c r="Q15" s="472">
        <f t="shared" si="0"/>
        <v>2671.9435691000003</v>
      </c>
      <c r="R15" s="666">
        <f t="shared" si="1"/>
        <v>3543.8917809</v>
      </c>
      <c r="U15" s="668" t="str">
        <f>INDEX($B$7:$N$20,MATCH(9,$F$47:$F$60,FALSE),1)</f>
        <v>Thames</v>
      </c>
      <c r="V15" s="697">
        <f>INDEX($B$7:$N$20,MATCH(9,$F$47:$F$60,FALSE),2)</f>
        <v>2485.41</v>
      </c>
      <c r="W15" s="698">
        <f>INDEX($B$7:$N$20,MATCH(9,$F$47:$F$60,FALSE),3)</f>
        <v>91781.61</v>
      </c>
      <c r="X15" s="675">
        <f>INDEX($B$7:$N$20,MATCH(9,$F$47:$F$60,FALSE),4)</f>
        <v>3.58</v>
      </c>
      <c r="Y15" s="699">
        <f>INDEX($B$7:$N$20,MATCH(9,$F$47:$F$60,FALSE),5)</f>
        <v>94267.02</v>
      </c>
      <c r="Z15" s="697">
        <f>INDEX($B$7:$N$20,MATCH(9,$F$47:$F$60,FALSE),6)</f>
        <v>825.09900000000005</v>
      </c>
      <c r="AA15" s="698">
        <f>INDEX($B$7:$N$20,MATCH(9,$F$47:$F$60,FALSE),7)</f>
        <v>10385.531999999999</v>
      </c>
      <c r="AB15" s="675">
        <f>INDEX($B$7:$N$20,MATCH(9,$F$47:$F$60,FALSE),8)</f>
        <v>10.029999999999999</v>
      </c>
      <c r="AC15" s="699">
        <f>INDEX($B$7:$N$20,MATCH(9,$F$47:$F$60,FALSE),9)</f>
        <v>11210.630999999999</v>
      </c>
      <c r="AD15" s="925">
        <f>INDEX($B$7:$N$20,MATCH(9,$F$47:$F$60,FALSE),10)</f>
        <v>1660.3109999999999</v>
      </c>
      <c r="AE15" s="698">
        <f>INDEX($B$7:$N$20,MATCH(9,$F$47:$F$60,FALSE),11)</f>
        <v>81289.407999999996</v>
      </c>
      <c r="AF15" s="675">
        <f>INDEX($B$7:$N$20,MATCH(9,$F$47:$F$60,FALSE),12)</f>
        <v>3.99</v>
      </c>
      <c r="AG15" s="699">
        <f>INDEX($B$7:$N$20,MATCH(9,$F$47:$F$60,FALSE),13)</f>
        <v>82949.718999999997</v>
      </c>
      <c r="AI15" s="665">
        <f t="shared" si="8"/>
        <v>3285.7816379999999</v>
      </c>
      <c r="AJ15" s="472">
        <f t="shared" si="2"/>
        <v>1041.6688595999999</v>
      </c>
      <c r="AK15" s="666">
        <f t="shared" si="3"/>
        <v>3243.4473791999999</v>
      </c>
    </row>
    <row r="16" spans="2:37" ht="15" customHeight="1" x14ac:dyDescent="0.2">
      <c r="B16" s="668" t="s">
        <v>292</v>
      </c>
      <c r="C16" s="918">
        <v>18891.375</v>
      </c>
      <c r="D16" s="919">
        <v>108672.41800000001</v>
      </c>
      <c r="E16" s="671">
        <v>3.26</v>
      </c>
      <c r="F16" s="699">
        <f t="shared" si="4"/>
        <v>127563.79300000001</v>
      </c>
      <c r="G16" s="918">
        <v>6295.808</v>
      </c>
      <c r="H16" s="919">
        <v>11965.755999999999</v>
      </c>
      <c r="I16" s="671">
        <v>9.36</v>
      </c>
      <c r="J16" s="699">
        <f t="shared" si="5"/>
        <v>18261.563999999998</v>
      </c>
      <c r="K16" s="923">
        <v>12595.567999999999</v>
      </c>
      <c r="L16" s="919">
        <v>96279.448000000004</v>
      </c>
      <c r="M16" s="671">
        <v>3.61</v>
      </c>
      <c r="N16" s="699">
        <f t="shared" si="6"/>
        <v>108875.016</v>
      </c>
      <c r="P16" s="665">
        <f t="shared" si="7"/>
        <v>3542.7208267999999</v>
      </c>
      <c r="Q16" s="472">
        <f t="shared" si="0"/>
        <v>1119.9947615999999</v>
      </c>
      <c r="R16" s="666">
        <f t="shared" si="1"/>
        <v>3475.6880728000001</v>
      </c>
      <c r="U16" s="668" t="str">
        <f>INDEX($B$7:$N$20,MATCH(10,$F$47:$F$60,FALSE),1)</f>
        <v>Cumbria and Lancashire</v>
      </c>
      <c r="V16" s="697">
        <f>INDEX($B$7:$N$20,MATCH(10,$F$47:$F$60,FALSE),2)</f>
        <v>26134.491999999998</v>
      </c>
      <c r="W16" s="698">
        <f>INDEX($B$7:$N$20,MATCH(10,$F$47:$F$60,FALSE),3)</f>
        <v>62577.341999999997</v>
      </c>
      <c r="X16" s="675">
        <f>INDEX($B$7:$N$20,MATCH(10,$F$47:$F$60,FALSE),4)</f>
        <v>4.51</v>
      </c>
      <c r="Y16" s="699">
        <f>INDEX($B$7:$N$20,MATCH(10,$F$47:$F$60,FALSE),5)</f>
        <v>88711.834000000003</v>
      </c>
      <c r="Z16" s="697">
        <f>INDEX($B$7:$N$20,MATCH(10,$F$47:$F$60,FALSE),6)</f>
        <v>21655.496999999999</v>
      </c>
      <c r="AA16" s="698">
        <f>INDEX($B$7:$N$20,MATCH(10,$F$47:$F$60,FALSE),7)</f>
        <v>17479.114000000001</v>
      </c>
      <c r="AB16" s="675">
        <f>INDEX($B$7:$N$20,MATCH(10,$F$47:$F$60,FALSE),8)</f>
        <v>9.16</v>
      </c>
      <c r="AC16" s="699">
        <f>INDEX($B$7:$N$20,MATCH(10,$F$47:$F$60,FALSE),9)</f>
        <v>39134.611000000004</v>
      </c>
      <c r="AD16" s="925">
        <f>INDEX($B$7:$N$20,MATCH(10,$F$47:$F$60,FALSE),10)</f>
        <v>4478.9949999999999</v>
      </c>
      <c r="AE16" s="698">
        <f>INDEX($B$7:$N$20,MATCH(10,$F$47:$F$60,FALSE),11)</f>
        <v>45012.286999999997</v>
      </c>
      <c r="AF16" s="675">
        <f>INDEX($B$7:$N$20,MATCH(10,$F$47:$F$60,FALSE),12)</f>
        <v>5.59</v>
      </c>
      <c r="AG16" s="699">
        <f>INDEX($B$7:$N$20,MATCH(10,$F$47:$F$60,FALSE),13)</f>
        <v>49491.281999999999</v>
      </c>
      <c r="AI16" s="665">
        <f t="shared" si="8"/>
        <v>2822.2381241999997</v>
      </c>
      <c r="AJ16" s="472">
        <f t="shared" si="2"/>
        <v>1601.0868424</v>
      </c>
      <c r="AK16" s="666">
        <f t="shared" si="3"/>
        <v>2516.1868433</v>
      </c>
    </row>
    <row r="17" spans="2:37" ht="15" customHeight="1" x14ac:dyDescent="0.2">
      <c r="B17" s="668" t="s">
        <v>293</v>
      </c>
      <c r="C17" s="918">
        <v>2485.41</v>
      </c>
      <c r="D17" s="919">
        <v>91781.61</v>
      </c>
      <c r="E17" s="671">
        <v>3.58</v>
      </c>
      <c r="F17" s="699">
        <f t="shared" si="4"/>
        <v>94267.02</v>
      </c>
      <c r="G17" s="918">
        <v>825.09900000000005</v>
      </c>
      <c r="H17" s="919">
        <v>10385.531999999999</v>
      </c>
      <c r="I17" s="671">
        <v>10.029999999999999</v>
      </c>
      <c r="J17" s="699">
        <f t="shared" si="5"/>
        <v>11210.630999999999</v>
      </c>
      <c r="K17" s="923">
        <v>1660.3109999999999</v>
      </c>
      <c r="L17" s="919">
        <v>81289.407999999996</v>
      </c>
      <c r="M17" s="671">
        <v>3.99</v>
      </c>
      <c r="N17" s="699">
        <f t="shared" si="6"/>
        <v>82949.718999999997</v>
      </c>
      <c r="P17" s="665">
        <f t="shared" si="7"/>
        <v>3285.7816379999999</v>
      </c>
      <c r="Q17" s="472">
        <f t="shared" si="0"/>
        <v>1041.6688595999999</v>
      </c>
      <c r="R17" s="666">
        <f t="shared" si="1"/>
        <v>3243.4473791999999</v>
      </c>
      <c r="U17" s="668" t="str">
        <f>INDEX($B$7:$N$20,MATCH(11,$F$47:$F$60,FALSE),1)</f>
        <v>Lincolnshire and Northamptonshire</v>
      </c>
      <c r="V17" s="697">
        <f>INDEX($B$7:$N$20,MATCH(11,$F$47:$F$60,FALSE),2)</f>
        <v>10051.968999999999</v>
      </c>
      <c r="W17" s="698">
        <f>INDEX($B$7:$N$20,MATCH(11,$F$47:$F$60,FALSE),3)</f>
        <v>42679.970999999998</v>
      </c>
      <c r="X17" s="675">
        <f>INDEX($B$7:$N$20,MATCH(11,$F$47:$F$60,FALSE),4)</f>
        <v>5.85</v>
      </c>
      <c r="Y17" s="699">
        <f>INDEX($B$7:$N$20,MATCH(11,$F$47:$F$60,FALSE),5)</f>
        <v>52731.939999999995</v>
      </c>
      <c r="Z17" s="697">
        <f>INDEX($B$7:$N$20,MATCH(11,$F$47:$F$60,FALSE),6)</f>
        <v>2461.973</v>
      </c>
      <c r="AA17" s="698">
        <f>INDEX($B$7:$N$20,MATCH(11,$F$47:$F$60,FALSE),7)</f>
        <v>4037.9679999999998</v>
      </c>
      <c r="AB17" s="675">
        <f>INDEX($B$7:$N$20,MATCH(11,$F$47:$F$60,FALSE),8)</f>
        <v>18.18</v>
      </c>
      <c r="AC17" s="699">
        <f>INDEX($B$7:$N$20,MATCH(11,$F$47:$F$60,FALSE),9)</f>
        <v>6499.9409999999998</v>
      </c>
      <c r="AD17" s="925">
        <f>INDEX($B$7:$N$20,MATCH(11,$F$47:$F$60,FALSE),10)</f>
        <v>7589.9960000000001</v>
      </c>
      <c r="AE17" s="698">
        <f>INDEX($B$7:$N$20,MATCH(11,$F$47:$F$60,FALSE),11)</f>
        <v>38591.752999999997</v>
      </c>
      <c r="AF17" s="675">
        <f>INDEX($B$7:$N$20,MATCH(11,$F$47:$F$60,FALSE),12)</f>
        <v>6.45</v>
      </c>
      <c r="AG17" s="699">
        <f>INDEX($B$7:$N$20,MATCH(11,$F$47:$F$60,FALSE),13)</f>
        <v>46181.748999999996</v>
      </c>
      <c r="AI17" s="665">
        <f t="shared" si="8"/>
        <v>2496.7783034999998</v>
      </c>
      <c r="AJ17" s="472">
        <f t="shared" si="2"/>
        <v>734.10258239999996</v>
      </c>
      <c r="AK17" s="666">
        <f t="shared" si="3"/>
        <v>2489.1680685000001</v>
      </c>
    </row>
    <row r="18" spans="2:37" ht="15" customHeight="1" x14ac:dyDescent="0.2">
      <c r="B18" s="668" t="s">
        <v>294</v>
      </c>
      <c r="C18" s="918">
        <v>8917.5840000000007</v>
      </c>
      <c r="D18" s="919">
        <v>96314.125</v>
      </c>
      <c r="E18" s="671">
        <v>3.66</v>
      </c>
      <c r="F18" s="699">
        <f t="shared" si="4"/>
        <v>105231.709</v>
      </c>
      <c r="G18" s="918">
        <v>4918.6819999999998</v>
      </c>
      <c r="H18" s="919">
        <v>10318.472</v>
      </c>
      <c r="I18" s="671">
        <v>8.02</v>
      </c>
      <c r="J18" s="699">
        <f t="shared" si="5"/>
        <v>15237.153999999999</v>
      </c>
      <c r="K18" s="923">
        <v>3998.9029999999998</v>
      </c>
      <c r="L18" s="919">
        <v>86019.127999999997</v>
      </c>
      <c r="M18" s="671">
        <v>4.0599999999999996</v>
      </c>
      <c r="N18" s="699">
        <f t="shared" si="6"/>
        <v>90018.031000000003</v>
      </c>
      <c r="P18" s="665">
        <f t="shared" si="7"/>
        <v>3525.0969749999999</v>
      </c>
      <c r="Q18" s="472">
        <f t="shared" si="0"/>
        <v>827.54145439999991</v>
      </c>
      <c r="R18" s="666">
        <f t="shared" si="1"/>
        <v>3492.3765967999998</v>
      </c>
      <c r="U18" s="668" t="str">
        <f>INDEX($B$7:$N$20,MATCH(12,$F$47:$F$60,FALSE),1)</f>
        <v>East Midlands</v>
      </c>
      <c r="V18" s="697">
        <f>INDEX($B$7:$N$20,MATCH(12,$F$47:$F$60,FALSE),2)</f>
        <v>5171.6210000000001</v>
      </c>
      <c r="W18" s="698">
        <f>INDEX($B$7:$N$20,MATCH(12,$F$47:$F$60,FALSE),3)</f>
        <v>45528.826000000001</v>
      </c>
      <c r="X18" s="675">
        <f>INDEX($B$7:$N$20,MATCH(12,$F$47:$F$60,FALSE),4)</f>
        <v>6.43</v>
      </c>
      <c r="Y18" s="699">
        <f>INDEX($B$7:$N$20,MATCH(12,$F$47:$F$60,FALSE),5)</f>
        <v>50700.447</v>
      </c>
      <c r="Z18" s="697">
        <f>INDEX($B$7:$N$20,MATCH(12,$F$47:$F$60,FALSE),6)</f>
        <v>3794.451</v>
      </c>
      <c r="AA18" s="698">
        <f>INDEX($B$7:$N$20,MATCH(12,$F$47:$F$60,FALSE),7)</f>
        <v>5483.6</v>
      </c>
      <c r="AB18" s="675">
        <f>INDEX($B$7:$N$20,MATCH(12,$F$47:$F$60,FALSE),8)</f>
        <v>14.87</v>
      </c>
      <c r="AC18" s="699">
        <f>INDEX($B$7:$N$20,MATCH(12,$F$47:$F$60,FALSE),9)</f>
        <v>9278.0509999999995</v>
      </c>
      <c r="AD18" s="925">
        <f>INDEX($B$7:$N$20,MATCH(12,$F$47:$F$60,FALSE),10)</f>
        <v>1377.17</v>
      </c>
      <c r="AE18" s="698">
        <f>INDEX($B$7:$N$20,MATCH(12,$F$47:$F$60,FALSE),11)</f>
        <v>40045.226000000002</v>
      </c>
      <c r="AF18" s="675">
        <f>INDEX($B$7:$N$20,MATCH(12,$F$47:$F$60,FALSE),12)</f>
        <v>7.34</v>
      </c>
      <c r="AG18" s="699">
        <f>INDEX($B$7:$N$20,MATCH(12,$F$47:$F$60,FALSE),13)</f>
        <v>41422.396000000001</v>
      </c>
      <c r="AI18" s="665">
        <f t="shared" si="8"/>
        <v>2927.5035118000001</v>
      </c>
      <c r="AJ18" s="472">
        <f t="shared" si="2"/>
        <v>815.41131999999993</v>
      </c>
      <c r="AK18" s="666">
        <f t="shared" si="3"/>
        <v>2939.3195884000002</v>
      </c>
    </row>
    <row r="19" spans="2:37" ht="15" customHeight="1" x14ac:dyDescent="0.2">
      <c r="B19" s="668" t="s">
        <v>295</v>
      </c>
      <c r="C19" s="918">
        <v>17600.126</v>
      </c>
      <c r="D19" s="919">
        <v>122038.25900000001</v>
      </c>
      <c r="E19" s="671">
        <v>3.61</v>
      </c>
      <c r="F19" s="699">
        <f t="shared" si="4"/>
        <v>139638.38500000001</v>
      </c>
      <c r="G19" s="918">
        <v>8521.9660000000003</v>
      </c>
      <c r="H19" s="919">
        <v>13060.883</v>
      </c>
      <c r="I19" s="671">
        <v>9.09</v>
      </c>
      <c r="J19" s="699">
        <f t="shared" si="5"/>
        <v>21582.849000000002</v>
      </c>
      <c r="K19" s="923">
        <v>9078.16</v>
      </c>
      <c r="L19" s="919">
        <v>109116.84299999999</v>
      </c>
      <c r="M19" s="671">
        <v>4.0199999999999996</v>
      </c>
      <c r="N19" s="699">
        <f t="shared" si="6"/>
        <v>118195.003</v>
      </c>
      <c r="P19" s="665">
        <f t="shared" si="7"/>
        <v>4405.5811499000001</v>
      </c>
      <c r="Q19" s="472">
        <f t="shared" si="0"/>
        <v>1187.2342646999998</v>
      </c>
      <c r="R19" s="666">
        <f t="shared" si="1"/>
        <v>4386.4970885999992</v>
      </c>
      <c r="U19" s="668" t="str">
        <f>INDEX($B$7:$N$20,MATCH(13,$F$47:$F$60,FALSE),1)</f>
        <v>Hertfordshire and North London</v>
      </c>
      <c r="V19" s="697">
        <f>INDEX($B$7:$N$20,MATCH(13,$F$47:$F$60,FALSE),2)</f>
        <v>615.24</v>
      </c>
      <c r="W19" s="698">
        <f>INDEX($B$7:$N$20,MATCH(13,$F$47:$F$60,FALSE),3)</f>
        <v>29559.473000000002</v>
      </c>
      <c r="X19" s="675">
        <f>INDEX($B$7:$N$20,MATCH(13,$F$47:$F$60,FALSE),4)</f>
        <v>6.72</v>
      </c>
      <c r="Y19" s="699">
        <f>INDEX($B$7:$N$20,MATCH(13,$F$47:$F$60,FALSE),5)</f>
        <v>30174.713000000003</v>
      </c>
      <c r="Z19" s="697">
        <f>INDEX($B$7:$N$20,MATCH(13,$F$47:$F$60,FALSE),6)</f>
        <v>152.40199999999999</v>
      </c>
      <c r="AA19" s="698">
        <f>INDEX($B$7:$N$20,MATCH(13,$F$47:$F$60,FALSE),7)</f>
        <v>2050.7620000000002</v>
      </c>
      <c r="AB19" s="675">
        <f>INDEX($B$7:$N$20,MATCH(13,$F$47:$F$60,FALSE),8)</f>
        <v>20.78</v>
      </c>
      <c r="AC19" s="699">
        <f>INDEX($B$7:$N$20,MATCH(13,$F$47:$F$60,FALSE),9)</f>
        <v>2203.1640000000002</v>
      </c>
      <c r="AD19" s="925">
        <f>INDEX($B$7:$N$20,MATCH(13,$F$47:$F$60,FALSE),10)</f>
        <v>462.83800000000002</v>
      </c>
      <c r="AE19" s="698">
        <f>INDEX($B$7:$N$20,MATCH(13,$F$47:$F$60,FALSE),11)</f>
        <v>27508.71</v>
      </c>
      <c r="AF19" s="675">
        <f>INDEX($B$7:$N$20,MATCH(13,$F$47:$F$60,FALSE),12)</f>
        <v>7.28</v>
      </c>
      <c r="AG19" s="699">
        <f>INDEX($B$7:$N$20,MATCH(13,$F$47:$F$60,FALSE),13)</f>
        <v>27971.547999999999</v>
      </c>
      <c r="AI19" s="665">
        <f t="shared" si="8"/>
        <v>1986.3965856000002</v>
      </c>
      <c r="AJ19" s="472">
        <f t="shared" si="2"/>
        <v>426.14834360000009</v>
      </c>
      <c r="AK19" s="666">
        <f t="shared" si="3"/>
        <v>2002.634088</v>
      </c>
    </row>
    <row r="20" spans="2:37" ht="15" customHeight="1" thickBot="1" x14ac:dyDescent="0.25">
      <c r="B20" s="677" t="s">
        <v>296</v>
      </c>
      <c r="C20" s="920">
        <v>15997.425999999999</v>
      </c>
      <c r="D20" s="921">
        <v>94047.62</v>
      </c>
      <c r="E20" s="680">
        <v>3.28</v>
      </c>
      <c r="F20" s="702">
        <f t="shared" si="4"/>
        <v>110045.046</v>
      </c>
      <c r="G20" s="920">
        <v>13108.904</v>
      </c>
      <c r="H20" s="921">
        <v>18485.322</v>
      </c>
      <c r="I20" s="680">
        <v>6.7</v>
      </c>
      <c r="J20" s="702">
        <f t="shared" si="5"/>
        <v>31594.226000000002</v>
      </c>
      <c r="K20" s="924">
        <v>2888.5230000000001</v>
      </c>
      <c r="L20" s="921">
        <v>75484.421000000002</v>
      </c>
      <c r="M20" s="680">
        <v>3.96</v>
      </c>
      <c r="N20" s="702">
        <f t="shared" si="6"/>
        <v>78372.944000000003</v>
      </c>
      <c r="P20" s="683">
        <f t="shared" si="7"/>
        <v>3084.7619359999994</v>
      </c>
      <c r="Q20" s="684">
        <f t="shared" si="0"/>
        <v>1238.5165740000002</v>
      </c>
      <c r="R20" s="685">
        <f t="shared" si="1"/>
        <v>2989.1830716000004</v>
      </c>
      <c r="U20" s="677" t="str">
        <f>INDEX($B$7:$N$20,MATCH(14,$F$47:$F$60,FALSE),1)</f>
        <v>Greater Manchester Merseyside and Cheshire</v>
      </c>
      <c r="V20" s="700">
        <f>INDEX($B$7:$N$20,MATCH(14,$F$47:$F$60,FALSE),2)</f>
        <v>1222.0129999999999</v>
      </c>
      <c r="W20" s="701">
        <f>INDEX($B$7:$N$20,MATCH(14,$F$47:$F$60,FALSE),3)</f>
        <v>22610.062999999998</v>
      </c>
      <c r="X20" s="688">
        <f>INDEX($B$7:$N$20,MATCH(14,$F$47:$F$60,FALSE),4)</f>
        <v>10.77</v>
      </c>
      <c r="Y20" s="702">
        <f>INDEX($B$7:$N$20,MATCH(14,$F$47:$F$60,FALSE),5)</f>
        <v>23832.075999999997</v>
      </c>
      <c r="Z20" s="700">
        <f>INDEX($B$7:$N$20,MATCH(14,$F$47:$F$60,FALSE),6)</f>
        <v>509.09300000000002</v>
      </c>
      <c r="AA20" s="701">
        <f>INDEX($B$7:$N$20,MATCH(14,$F$47:$F$60,FALSE),7)</f>
        <v>1634.7049999999999</v>
      </c>
      <c r="AB20" s="688">
        <f>INDEX($B$7:$N$20,MATCH(14,$F$47:$F$60,FALSE),8)</f>
        <v>28.62</v>
      </c>
      <c r="AC20" s="702">
        <f>INDEX($B$7:$N$20,MATCH(14,$F$47:$F$60,FALSE),9)</f>
        <v>2143.7979999999998</v>
      </c>
      <c r="AD20" s="926">
        <f>INDEX($B$7:$N$20,MATCH(14,$F$47:$F$60,FALSE),10)</f>
        <v>712.92</v>
      </c>
      <c r="AE20" s="701">
        <f>INDEX($B$7:$N$20,MATCH(14,$F$47:$F$60,FALSE),11)</f>
        <v>20975.358</v>
      </c>
      <c r="AF20" s="688">
        <f>INDEX($B$7:$N$20,MATCH(14,$F$47:$F$60,FALSE),12)</f>
        <v>11.96</v>
      </c>
      <c r="AG20" s="702">
        <f>INDEX($B$7:$N$20,MATCH(14,$F$47:$F$60,FALSE),13)</f>
        <v>21688.277999999998</v>
      </c>
      <c r="AI20" s="683">
        <f t="shared" si="8"/>
        <v>2435.1037850999996</v>
      </c>
      <c r="AJ20" s="684">
        <f t="shared" si="2"/>
        <v>467.85257100000001</v>
      </c>
      <c r="AK20" s="685">
        <f t="shared" si="3"/>
        <v>2508.6528168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 t="s">
        <v>721</v>
      </c>
      <c r="C26" s="660"/>
      <c r="D26" s="661"/>
      <c r="E26" s="662"/>
      <c r="F26" s="663">
        <f>C26+D26</f>
        <v>0</v>
      </c>
      <c r="G26" s="664"/>
      <c r="H26" s="661"/>
      <c r="I26" s="662"/>
      <c r="J26" s="696"/>
      <c r="K26" s="664"/>
      <c r="L26" s="661"/>
      <c r="M26" s="662"/>
      <c r="N26" s="696"/>
      <c r="P26" s="665">
        <f>D26*E26/100</f>
        <v>0</v>
      </c>
      <c r="Q26" s="472"/>
      <c r="R26" s="666"/>
    </row>
    <row r="27" spans="2:37" ht="15" customHeight="1" x14ac:dyDescent="0.2">
      <c r="B27" s="668" t="s">
        <v>286</v>
      </c>
      <c r="C27" s="669"/>
      <c r="D27" s="670"/>
      <c r="E27" s="671"/>
      <c r="F27" s="663">
        <f>C27+D27</f>
        <v>0</v>
      </c>
      <c r="G27" s="672"/>
      <c r="H27" s="670"/>
      <c r="I27" s="671"/>
      <c r="J27" s="696"/>
      <c r="K27" s="672"/>
      <c r="L27" s="670"/>
      <c r="M27" s="671"/>
      <c r="N27" s="696"/>
      <c r="P27" s="665">
        <f>D27*E27/100</f>
        <v>0</v>
      </c>
      <c r="Q27" s="472"/>
      <c r="R27" s="666"/>
    </row>
    <row r="28" spans="2:37" ht="15" customHeight="1" x14ac:dyDescent="0.2">
      <c r="B28" s="668" t="s">
        <v>307</v>
      </c>
      <c r="C28" s="669"/>
      <c r="D28" s="670"/>
      <c r="E28" s="671"/>
      <c r="F28" s="663">
        <f t="shared" ref="F28:F40" si="9">C28+D28</f>
        <v>0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ref="P28:P40" si="10">D28*E28/100</f>
        <v>0</v>
      </c>
      <c r="Q28" s="472"/>
      <c r="R28" s="666"/>
    </row>
    <row r="29" spans="2:37" ht="15" customHeight="1" x14ac:dyDescent="0.2">
      <c r="B29" s="668" t="s">
        <v>287</v>
      </c>
      <c r="C29" s="669"/>
      <c r="D29" s="670"/>
      <c r="E29" s="671"/>
      <c r="F29" s="663">
        <f t="shared" si="9"/>
        <v>0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10"/>
        <v>0</v>
      </c>
      <c r="Q29" s="472"/>
      <c r="R29" s="666"/>
    </row>
    <row r="30" spans="2:37" ht="15" customHeight="1" x14ac:dyDescent="0.2">
      <c r="B30" s="668" t="s">
        <v>288</v>
      </c>
      <c r="C30" s="669"/>
      <c r="D30" s="670"/>
      <c r="E30" s="671"/>
      <c r="F30" s="663">
        <f t="shared" si="9"/>
        <v>0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10"/>
        <v>0</v>
      </c>
      <c r="Q30" s="472"/>
      <c r="R30" s="666"/>
    </row>
    <row r="31" spans="2:37" ht="15" customHeight="1" x14ac:dyDescent="0.2">
      <c r="B31" s="668" t="s">
        <v>305</v>
      </c>
      <c r="C31" s="669"/>
      <c r="D31" s="670"/>
      <c r="E31" s="671"/>
      <c r="F31" s="663">
        <f t="shared" si="9"/>
        <v>0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10"/>
        <v>0</v>
      </c>
      <c r="Q31" s="472"/>
      <c r="R31" s="666"/>
    </row>
    <row r="32" spans="2:37" ht="15" customHeight="1" x14ac:dyDescent="0.2">
      <c r="B32" s="668" t="s">
        <v>289</v>
      </c>
      <c r="C32" s="669"/>
      <c r="D32" s="670"/>
      <c r="E32" s="671"/>
      <c r="F32" s="663">
        <f t="shared" si="9"/>
        <v>0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10"/>
        <v>0</v>
      </c>
      <c r="Q32" s="472"/>
      <c r="R32" s="666"/>
    </row>
    <row r="33" spans="2:18" ht="15" customHeight="1" x14ac:dyDescent="0.2">
      <c r="B33" s="668" t="s">
        <v>306</v>
      </c>
      <c r="C33" s="669"/>
      <c r="D33" s="670"/>
      <c r="E33" s="671"/>
      <c r="F33" s="663">
        <f t="shared" si="9"/>
        <v>0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10"/>
        <v>0</v>
      </c>
      <c r="Q33" s="472"/>
      <c r="R33" s="666"/>
    </row>
    <row r="34" spans="2:18" ht="15" customHeight="1" x14ac:dyDescent="0.2">
      <c r="B34" s="668" t="s">
        <v>290</v>
      </c>
      <c r="C34" s="669"/>
      <c r="D34" s="670"/>
      <c r="E34" s="671"/>
      <c r="F34" s="663">
        <f t="shared" si="9"/>
        <v>0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10"/>
        <v>0</v>
      </c>
      <c r="Q34" s="472"/>
      <c r="R34" s="666"/>
    </row>
    <row r="35" spans="2:18" ht="15" customHeight="1" x14ac:dyDescent="0.2">
      <c r="B35" s="668" t="s">
        <v>291</v>
      </c>
      <c r="C35" s="669"/>
      <c r="D35" s="670"/>
      <c r="E35" s="671"/>
      <c r="F35" s="663">
        <f t="shared" si="9"/>
        <v>0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10"/>
        <v>0</v>
      </c>
      <c r="Q35" s="472"/>
      <c r="R35" s="666"/>
    </row>
    <row r="36" spans="2:18" ht="15" customHeight="1" x14ac:dyDescent="0.2">
      <c r="B36" s="668" t="s">
        <v>292</v>
      </c>
      <c r="C36" s="669"/>
      <c r="D36" s="670"/>
      <c r="E36" s="671"/>
      <c r="F36" s="663">
        <f t="shared" si="9"/>
        <v>0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10"/>
        <v>0</v>
      </c>
      <c r="Q36" s="472"/>
      <c r="R36" s="666"/>
    </row>
    <row r="37" spans="2:18" ht="15" customHeight="1" x14ac:dyDescent="0.2">
      <c r="B37" s="668" t="s">
        <v>293</v>
      </c>
      <c r="C37" s="669"/>
      <c r="D37" s="670"/>
      <c r="E37" s="671"/>
      <c r="F37" s="663">
        <f t="shared" si="9"/>
        <v>0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10"/>
        <v>0</v>
      </c>
      <c r="Q37" s="472"/>
      <c r="R37" s="666"/>
    </row>
    <row r="38" spans="2:18" ht="15" customHeight="1" x14ac:dyDescent="0.2">
      <c r="B38" s="668" t="s">
        <v>294</v>
      </c>
      <c r="C38" s="669"/>
      <c r="D38" s="670"/>
      <c r="E38" s="671"/>
      <c r="F38" s="663">
        <f t="shared" si="9"/>
        <v>0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10"/>
        <v>0</v>
      </c>
      <c r="Q38" s="472"/>
      <c r="R38" s="666"/>
    </row>
    <row r="39" spans="2:18" ht="15" customHeight="1" x14ac:dyDescent="0.2">
      <c r="B39" s="668" t="s">
        <v>295</v>
      </c>
      <c r="C39" s="669"/>
      <c r="D39" s="670"/>
      <c r="E39" s="671"/>
      <c r="F39" s="663">
        <f t="shared" si="9"/>
        <v>0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10"/>
        <v>0</v>
      </c>
      <c r="Q39" s="472"/>
      <c r="R39" s="666"/>
    </row>
    <row r="40" spans="2:18" ht="15" customHeight="1" thickBot="1" x14ac:dyDescent="0.25">
      <c r="B40" s="677" t="s">
        <v>296</v>
      </c>
      <c r="C40" s="678"/>
      <c r="D40" s="679"/>
      <c r="E40" s="680"/>
      <c r="F40" s="681">
        <f t="shared" si="9"/>
        <v>0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10"/>
        <v>0</v>
      </c>
      <c r="Q40" s="684"/>
      <c r="R40" s="685"/>
    </row>
    <row r="42" spans="2:18" ht="15" customHeight="1" thickBot="1" x14ac:dyDescent="0.25"/>
    <row r="43" spans="2:18" ht="15" customHeight="1" x14ac:dyDescent="0.2">
      <c r="B43" s="1000" t="s">
        <v>753</v>
      </c>
      <c r="C43" s="1002" t="s">
        <v>106</v>
      </c>
      <c r="D43" s="1002"/>
      <c r="E43" s="1002"/>
      <c r="F43" s="1002"/>
      <c r="G43" s="1002" t="s">
        <v>92</v>
      </c>
      <c r="H43" s="1002"/>
      <c r="I43" s="1002"/>
      <c r="J43" s="1002"/>
      <c r="K43" s="1002" t="s">
        <v>105</v>
      </c>
      <c r="L43" s="1002"/>
      <c r="M43" s="1002"/>
      <c r="N43" s="1002"/>
      <c r="P43" s="1003" t="s">
        <v>754</v>
      </c>
      <c r="Q43" s="996" t="s">
        <v>755</v>
      </c>
      <c r="R43" s="998" t="s">
        <v>756</v>
      </c>
    </row>
    <row r="44" spans="2:18" ht="15" customHeight="1" x14ac:dyDescent="0.2">
      <c r="B44" s="1000"/>
      <c r="C44" s="653" t="s">
        <v>78</v>
      </c>
      <c r="D44" s="653" t="s">
        <v>309</v>
      </c>
      <c r="E44" s="653"/>
      <c r="F44" s="653" t="s">
        <v>80</v>
      </c>
      <c r="G44" s="653" t="s">
        <v>78</v>
      </c>
      <c r="H44" s="653" t="s">
        <v>309</v>
      </c>
      <c r="I44" s="653"/>
      <c r="J44" s="653" t="s">
        <v>80</v>
      </c>
      <c r="K44" s="653" t="s">
        <v>78</v>
      </c>
      <c r="L44" s="653" t="s">
        <v>309</v>
      </c>
      <c r="M44" s="653"/>
      <c r="N44" s="653" t="s">
        <v>80</v>
      </c>
      <c r="P44" s="1004"/>
      <c r="Q44" s="997"/>
      <c r="R44" s="999"/>
    </row>
    <row r="45" spans="2:18" ht="15" customHeight="1" thickBot="1" x14ac:dyDescent="0.25">
      <c r="B45" s="1001"/>
      <c r="C45" s="654" t="s">
        <v>758</v>
      </c>
      <c r="D45" s="654" t="s">
        <v>758</v>
      </c>
      <c r="E45" s="655"/>
      <c r="F45" s="654" t="s">
        <v>758</v>
      </c>
      <c r="G45" s="654" t="s">
        <v>757</v>
      </c>
      <c r="H45" s="654" t="s">
        <v>757</v>
      </c>
      <c r="I45" s="655" t="s">
        <v>82</v>
      </c>
      <c r="J45" s="654" t="s">
        <v>757</v>
      </c>
      <c r="K45" s="654" t="s">
        <v>757</v>
      </c>
      <c r="L45" s="654" t="s">
        <v>757</v>
      </c>
      <c r="M45" s="655" t="s">
        <v>82</v>
      </c>
      <c r="N45" s="654" t="s">
        <v>757</v>
      </c>
      <c r="P45" s="656"/>
      <c r="Q45" s="657"/>
      <c r="R45" s="658"/>
    </row>
    <row r="46" spans="2:18" ht="15" customHeight="1" x14ac:dyDescent="0.2">
      <c r="B46" s="659" t="s">
        <v>721</v>
      </c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 t="s">
        <v>286</v>
      </c>
      <c r="C47" s="697">
        <f>_xlfn.RANK.EQ(C7,$C$7:$C$20,0)</f>
        <v>2</v>
      </c>
      <c r="D47" s="698">
        <f>_xlfn.RANK.EQ(D7,$D$7:$D$20,0)</f>
        <v>10</v>
      </c>
      <c r="E47" s="671"/>
      <c r="F47" s="699">
        <f>_xlfn.RANK.EQ(F7,$F$7:$F$20,0)</f>
        <v>10</v>
      </c>
      <c r="G47" s="697">
        <f>_xlfn.RANK.EQ(G7,$G$7:$G$20,0)</f>
        <v>2</v>
      </c>
      <c r="H47" s="698">
        <f>_xlfn.RANK.EQ(H7,$H$7:$H$20,0)</f>
        <v>3</v>
      </c>
      <c r="I47" s="671"/>
      <c r="J47" s="699">
        <f>_xlfn.RANK.EQ(J7,$J$7:$J$20,0)</f>
        <v>2</v>
      </c>
      <c r="K47" s="697">
        <f>_xlfn.RANK.EQ(K7,$K$7:$K$20,0)</f>
        <v>4</v>
      </c>
      <c r="L47" s="698">
        <f>_xlfn.RANK.EQ(L7,$L$7:$L$20,0)</f>
        <v>10</v>
      </c>
      <c r="M47" s="671"/>
      <c r="N47" s="699">
        <f>_xlfn.RANK.EQ(N7,$N$7:$N$20,0)</f>
        <v>10</v>
      </c>
      <c r="P47" s="665"/>
      <c r="Q47" s="472"/>
      <c r="R47" s="666"/>
    </row>
    <row r="48" spans="2:18" ht="15" customHeight="1" x14ac:dyDescent="0.2">
      <c r="B48" s="668" t="s">
        <v>307</v>
      </c>
      <c r="C48" s="697">
        <f t="shared" ref="C48:C60" si="11">_xlfn.RANK.EQ(C8,$C$7:$C$20,0)</f>
        <v>7</v>
      </c>
      <c r="D48" s="698">
        <f t="shared" ref="D48:D60" si="12">_xlfn.RANK.EQ(D8,$D$7:$D$20,0)</f>
        <v>3</v>
      </c>
      <c r="E48" s="671"/>
      <c r="F48" s="699">
        <f t="shared" ref="F48:F60" si="13">_xlfn.RANK.EQ(F8,$F$7:$F$20,0)</f>
        <v>6</v>
      </c>
      <c r="G48" s="697">
        <f t="shared" ref="G48:G60" si="14">_xlfn.RANK.EQ(G8,$G$7:$G$20,0)</f>
        <v>6</v>
      </c>
      <c r="H48" s="698">
        <f t="shared" ref="H48:H60" si="15">_xlfn.RANK.EQ(H8,$H$7:$H$20,0)</f>
        <v>4</v>
      </c>
      <c r="I48" s="671"/>
      <c r="J48" s="699">
        <f t="shared" ref="J48:J60" si="16">_xlfn.RANK.EQ(J8,$J$7:$J$20,0)</f>
        <v>5</v>
      </c>
      <c r="K48" s="697">
        <f t="shared" ref="K48:K60" si="17">_xlfn.RANK.EQ(K8,$K$7:$K$20,0)</f>
        <v>10</v>
      </c>
      <c r="L48" s="698">
        <f t="shared" ref="L48:L60" si="18">_xlfn.RANK.EQ(L8,$L$7:$L$20,0)</f>
        <v>3</v>
      </c>
      <c r="M48" s="671"/>
      <c r="N48" s="699">
        <f t="shared" ref="N48:N60" si="19">_xlfn.RANK.EQ(N8,$N$7:$N$20,0)</f>
        <v>4</v>
      </c>
      <c r="P48" s="665"/>
      <c r="Q48" s="472"/>
      <c r="R48" s="666"/>
    </row>
    <row r="49" spans="2:18" ht="15" customHeight="1" x14ac:dyDescent="0.2">
      <c r="B49" s="668" t="s">
        <v>287</v>
      </c>
      <c r="C49" s="697">
        <f t="shared" si="11"/>
        <v>3</v>
      </c>
      <c r="D49" s="698">
        <f t="shared" si="12"/>
        <v>5</v>
      </c>
      <c r="E49" s="671"/>
      <c r="F49" s="699">
        <f t="shared" si="13"/>
        <v>4</v>
      </c>
      <c r="G49" s="697">
        <f t="shared" si="14"/>
        <v>3</v>
      </c>
      <c r="H49" s="698">
        <f t="shared" si="15"/>
        <v>7</v>
      </c>
      <c r="I49" s="671"/>
      <c r="J49" s="699">
        <f t="shared" si="16"/>
        <v>4</v>
      </c>
      <c r="K49" s="697">
        <f t="shared" si="17"/>
        <v>5</v>
      </c>
      <c r="L49" s="698">
        <f t="shared" si="18"/>
        <v>5</v>
      </c>
      <c r="M49" s="671"/>
      <c r="N49" s="699">
        <f t="shared" si="19"/>
        <v>5</v>
      </c>
      <c r="P49" s="665"/>
      <c r="Q49" s="472"/>
      <c r="R49" s="666"/>
    </row>
    <row r="50" spans="2:18" ht="15" customHeight="1" x14ac:dyDescent="0.2">
      <c r="B50" s="668" t="s">
        <v>288</v>
      </c>
      <c r="C50" s="697">
        <f t="shared" si="11"/>
        <v>11</v>
      </c>
      <c r="D50" s="698">
        <f t="shared" si="12"/>
        <v>11</v>
      </c>
      <c r="E50" s="671"/>
      <c r="F50" s="699">
        <f t="shared" si="13"/>
        <v>12</v>
      </c>
      <c r="G50" s="697">
        <f t="shared" si="14"/>
        <v>9</v>
      </c>
      <c r="H50" s="698">
        <f t="shared" si="15"/>
        <v>11</v>
      </c>
      <c r="I50" s="671"/>
      <c r="J50" s="699">
        <f t="shared" si="16"/>
        <v>11</v>
      </c>
      <c r="K50" s="697">
        <f t="shared" si="17"/>
        <v>12</v>
      </c>
      <c r="L50" s="698">
        <f t="shared" si="18"/>
        <v>11</v>
      </c>
      <c r="M50" s="671"/>
      <c r="N50" s="699">
        <f t="shared" si="19"/>
        <v>12</v>
      </c>
      <c r="P50" s="665"/>
      <c r="Q50" s="472"/>
      <c r="R50" s="666"/>
    </row>
    <row r="51" spans="2:18" ht="15" customHeight="1" x14ac:dyDescent="0.2">
      <c r="B51" s="668" t="s">
        <v>305</v>
      </c>
      <c r="C51" s="697">
        <f t="shared" si="11"/>
        <v>13</v>
      </c>
      <c r="D51" s="698">
        <f t="shared" si="12"/>
        <v>14</v>
      </c>
      <c r="E51" s="671"/>
      <c r="F51" s="699">
        <f t="shared" si="13"/>
        <v>14</v>
      </c>
      <c r="G51" s="697">
        <f t="shared" si="14"/>
        <v>13</v>
      </c>
      <c r="H51" s="698">
        <f t="shared" si="15"/>
        <v>14</v>
      </c>
      <c r="I51" s="671"/>
      <c r="J51" s="699">
        <f t="shared" si="16"/>
        <v>14</v>
      </c>
      <c r="K51" s="697">
        <f t="shared" si="17"/>
        <v>13</v>
      </c>
      <c r="L51" s="698">
        <f t="shared" si="18"/>
        <v>14</v>
      </c>
      <c r="M51" s="671"/>
      <c r="N51" s="699">
        <f t="shared" si="19"/>
        <v>14</v>
      </c>
      <c r="P51" s="665"/>
      <c r="Q51" s="472"/>
      <c r="R51" s="666"/>
    </row>
    <row r="52" spans="2:18" ht="15" customHeight="1" x14ac:dyDescent="0.2">
      <c r="B52" s="668" t="s">
        <v>289</v>
      </c>
      <c r="C52" s="697">
        <f t="shared" si="11"/>
        <v>14</v>
      </c>
      <c r="D52" s="698">
        <f t="shared" si="12"/>
        <v>13</v>
      </c>
      <c r="E52" s="671"/>
      <c r="F52" s="699">
        <f t="shared" si="13"/>
        <v>13</v>
      </c>
      <c r="G52" s="697">
        <f t="shared" si="14"/>
        <v>14</v>
      </c>
      <c r="H52" s="698">
        <f t="shared" si="15"/>
        <v>13</v>
      </c>
      <c r="I52" s="671"/>
      <c r="J52" s="699">
        <f t="shared" si="16"/>
        <v>13</v>
      </c>
      <c r="K52" s="697">
        <f t="shared" si="17"/>
        <v>14</v>
      </c>
      <c r="L52" s="698">
        <f t="shared" si="18"/>
        <v>13</v>
      </c>
      <c r="M52" s="671"/>
      <c r="N52" s="699">
        <f t="shared" si="19"/>
        <v>13</v>
      </c>
      <c r="P52" s="665"/>
      <c r="Q52" s="472"/>
      <c r="R52" s="666"/>
    </row>
    <row r="53" spans="2:18" ht="15" customHeight="1" x14ac:dyDescent="0.2">
      <c r="B53" s="668" t="s">
        <v>306</v>
      </c>
      <c r="C53" s="697">
        <f t="shared" si="11"/>
        <v>10</v>
      </c>
      <c r="D53" s="698">
        <f t="shared" si="12"/>
        <v>1</v>
      </c>
      <c r="E53" s="671"/>
      <c r="F53" s="699">
        <f t="shared" si="13"/>
        <v>3</v>
      </c>
      <c r="G53" s="697">
        <f t="shared" si="14"/>
        <v>10</v>
      </c>
      <c r="H53" s="698">
        <f t="shared" si="15"/>
        <v>10</v>
      </c>
      <c r="I53" s="671"/>
      <c r="J53" s="699">
        <f t="shared" si="16"/>
        <v>10</v>
      </c>
      <c r="K53" s="697">
        <f t="shared" si="17"/>
        <v>7</v>
      </c>
      <c r="L53" s="698">
        <f t="shared" si="18"/>
        <v>1</v>
      </c>
      <c r="M53" s="671"/>
      <c r="N53" s="699">
        <f t="shared" si="19"/>
        <v>1</v>
      </c>
      <c r="P53" s="665"/>
      <c r="Q53" s="472"/>
      <c r="R53" s="666"/>
    </row>
    <row r="54" spans="2:18" ht="15" customHeight="1" x14ac:dyDescent="0.2">
      <c r="B54" s="668" t="s">
        <v>290</v>
      </c>
      <c r="C54" s="697">
        <f t="shared" si="11"/>
        <v>8</v>
      </c>
      <c r="D54" s="698">
        <f t="shared" si="12"/>
        <v>12</v>
      </c>
      <c r="E54" s="671"/>
      <c r="F54" s="699">
        <f t="shared" si="13"/>
        <v>11</v>
      </c>
      <c r="G54" s="697">
        <f t="shared" si="14"/>
        <v>11</v>
      </c>
      <c r="H54" s="698">
        <f t="shared" si="15"/>
        <v>12</v>
      </c>
      <c r="I54" s="671"/>
      <c r="J54" s="699">
        <f t="shared" si="16"/>
        <v>12</v>
      </c>
      <c r="K54" s="697">
        <f t="shared" si="17"/>
        <v>3</v>
      </c>
      <c r="L54" s="698">
        <f t="shared" si="18"/>
        <v>12</v>
      </c>
      <c r="M54" s="671"/>
      <c r="N54" s="699">
        <f t="shared" si="19"/>
        <v>11</v>
      </c>
      <c r="P54" s="665"/>
      <c r="Q54" s="472"/>
      <c r="R54" s="666"/>
    </row>
    <row r="55" spans="2:18" ht="15" customHeight="1" x14ac:dyDescent="0.2">
      <c r="B55" s="668" t="s">
        <v>291</v>
      </c>
      <c r="C55" s="697">
        <f t="shared" si="11"/>
        <v>1</v>
      </c>
      <c r="D55" s="698">
        <f t="shared" si="12"/>
        <v>9</v>
      </c>
      <c r="E55" s="671"/>
      <c r="F55" s="699">
        <f t="shared" si="13"/>
        <v>2</v>
      </c>
      <c r="G55" s="697">
        <f t="shared" si="14"/>
        <v>1</v>
      </c>
      <c r="H55" s="698">
        <f t="shared" si="15"/>
        <v>1</v>
      </c>
      <c r="I55" s="671"/>
      <c r="J55" s="699">
        <f t="shared" si="16"/>
        <v>1</v>
      </c>
      <c r="K55" s="697">
        <f t="shared" si="17"/>
        <v>9</v>
      </c>
      <c r="L55" s="698">
        <f t="shared" si="18"/>
        <v>9</v>
      </c>
      <c r="M55" s="671"/>
      <c r="N55" s="699">
        <f t="shared" si="19"/>
        <v>9</v>
      </c>
      <c r="P55" s="665"/>
      <c r="Q55" s="472"/>
      <c r="R55" s="666"/>
    </row>
    <row r="56" spans="2:18" ht="15" customHeight="1" x14ac:dyDescent="0.2">
      <c r="B56" s="668" t="s">
        <v>292</v>
      </c>
      <c r="C56" s="697">
        <f t="shared" si="11"/>
        <v>4</v>
      </c>
      <c r="D56" s="698">
        <f t="shared" si="12"/>
        <v>4</v>
      </c>
      <c r="E56" s="671"/>
      <c r="F56" s="699">
        <f t="shared" si="13"/>
        <v>5</v>
      </c>
      <c r="G56" s="697">
        <f t="shared" si="14"/>
        <v>7</v>
      </c>
      <c r="H56" s="698">
        <f t="shared" si="15"/>
        <v>6</v>
      </c>
      <c r="I56" s="671"/>
      <c r="J56" s="699">
        <f t="shared" si="16"/>
        <v>7</v>
      </c>
      <c r="K56" s="697">
        <f t="shared" si="17"/>
        <v>1</v>
      </c>
      <c r="L56" s="698">
        <f t="shared" si="18"/>
        <v>4</v>
      </c>
      <c r="M56" s="671"/>
      <c r="N56" s="699">
        <f t="shared" si="19"/>
        <v>3</v>
      </c>
      <c r="P56" s="665"/>
      <c r="Q56" s="472"/>
      <c r="R56" s="666"/>
    </row>
    <row r="57" spans="2:18" ht="15" customHeight="1" x14ac:dyDescent="0.2">
      <c r="B57" s="668" t="s">
        <v>293</v>
      </c>
      <c r="C57" s="697">
        <f t="shared" si="11"/>
        <v>12</v>
      </c>
      <c r="D57" s="698">
        <f t="shared" si="12"/>
        <v>8</v>
      </c>
      <c r="E57" s="671"/>
      <c r="F57" s="699">
        <f t="shared" si="13"/>
        <v>9</v>
      </c>
      <c r="G57" s="697">
        <f t="shared" si="14"/>
        <v>12</v>
      </c>
      <c r="H57" s="698">
        <f t="shared" si="15"/>
        <v>8</v>
      </c>
      <c r="I57" s="671"/>
      <c r="J57" s="699">
        <f t="shared" si="16"/>
        <v>9</v>
      </c>
      <c r="K57" s="697">
        <f t="shared" si="17"/>
        <v>11</v>
      </c>
      <c r="L57" s="698">
        <f t="shared" si="18"/>
        <v>7</v>
      </c>
      <c r="M57" s="671"/>
      <c r="N57" s="699">
        <f t="shared" si="19"/>
        <v>7</v>
      </c>
      <c r="P57" s="665"/>
      <c r="Q57" s="472"/>
      <c r="R57" s="666"/>
    </row>
    <row r="58" spans="2:18" ht="15" customHeight="1" x14ac:dyDescent="0.2">
      <c r="B58" s="668" t="s">
        <v>294</v>
      </c>
      <c r="C58" s="697">
        <f t="shared" si="11"/>
        <v>9</v>
      </c>
      <c r="D58" s="698">
        <f t="shared" si="12"/>
        <v>6</v>
      </c>
      <c r="E58" s="671"/>
      <c r="F58" s="699">
        <f t="shared" si="13"/>
        <v>8</v>
      </c>
      <c r="G58" s="697">
        <f t="shared" si="14"/>
        <v>8</v>
      </c>
      <c r="H58" s="698">
        <f t="shared" si="15"/>
        <v>9</v>
      </c>
      <c r="I58" s="671"/>
      <c r="J58" s="699">
        <f t="shared" si="16"/>
        <v>8</v>
      </c>
      <c r="K58" s="697">
        <f t="shared" si="17"/>
        <v>6</v>
      </c>
      <c r="L58" s="698">
        <f t="shared" si="18"/>
        <v>6</v>
      </c>
      <c r="M58" s="671"/>
      <c r="N58" s="699">
        <f t="shared" si="19"/>
        <v>6</v>
      </c>
      <c r="P58" s="665"/>
      <c r="Q58" s="472"/>
      <c r="R58" s="666"/>
    </row>
    <row r="59" spans="2:18" ht="15" customHeight="1" x14ac:dyDescent="0.2">
      <c r="B59" s="668" t="s">
        <v>295</v>
      </c>
      <c r="C59" s="697">
        <f t="shared" si="11"/>
        <v>5</v>
      </c>
      <c r="D59" s="698">
        <f t="shared" si="12"/>
        <v>2</v>
      </c>
      <c r="E59" s="671"/>
      <c r="F59" s="699">
        <f t="shared" si="13"/>
        <v>1</v>
      </c>
      <c r="G59" s="697">
        <f t="shared" si="14"/>
        <v>5</v>
      </c>
      <c r="H59" s="698">
        <f t="shared" si="15"/>
        <v>5</v>
      </c>
      <c r="I59" s="671"/>
      <c r="J59" s="699">
        <f t="shared" si="16"/>
        <v>6</v>
      </c>
      <c r="K59" s="697">
        <f t="shared" si="17"/>
        <v>2</v>
      </c>
      <c r="L59" s="698">
        <f t="shared" si="18"/>
        <v>2</v>
      </c>
      <c r="M59" s="671"/>
      <c r="N59" s="699">
        <f t="shared" si="19"/>
        <v>2</v>
      </c>
      <c r="P59" s="665"/>
      <c r="Q59" s="472"/>
      <c r="R59" s="666"/>
    </row>
    <row r="60" spans="2:18" ht="15" customHeight="1" thickBot="1" x14ac:dyDescent="0.25">
      <c r="B60" s="677" t="s">
        <v>296</v>
      </c>
      <c r="C60" s="700">
        <f t="shared" si="11"/>
        <v>6</v>
      </c>
      <c r="D60" s="701">
        <f t="shared" si="12"/>
        <v>7</v>
      </c>
      <c r="E60" s="680"/>
      <c r="F60" s="702">
        <f t="shared" si="13"/>
        <v>7</v>
      </c>
      <c r="G60" s="700">
        <f t="shared" si="14"/>
        <v>4</v>
      </c>
      <c r="H60" s="701">
        <f t="shared" si="15"/>
        <v>2</v>
      </c>
      <c r="I60" s="680"/>
      <c r="J60" s="702">
        <f t="shared" si="16"/>
        <v>3</v>
      </c>
      <c r="K60" s="700">
        <f t="shared" si="17"/>
        <v>8</v>
      </c>
      <c r="L60" s="701">
        <f t="shared" si="18"/>
        <v>8</v>
      </c>
      <c r="M60" s="680"/>
      <c r="N60" s="702">
        <f t="shared" si="19"/>
        <v>8</v>
      </c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 t="s">
        <v>753</v>
      </c>
      <c r="C63" s="1002" t="s">
        <v>76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520</v>
      </c>
      <c r="Q63" s="996"/>
      <c r="R63" s="998"/>
    </row>
    <row r="64" spans="2:18" ht="15" customHeight="1" x14ac:dyDescent="0.2">
      <c r="B64" s="1000"/>
      <c r="C64" s="653" t="s">
        <v>78</v>
      </c>
      <c r="D64" s="653" t="s">
        <v>309</v>
      </c>
      <c r="E64" s="653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 t="s">
        <v>757</v>
      </c>
      <c r="D65" s="654" t="s">
        <v>757</v>
      </c>
      <c r="E65" s="655" t="s">
        <v>82</v>
      </c>
      <c r="F65" s="694" t="s">
        <v>757</v>
      </c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 t="s">
        <v>721</v>
      </c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 t="s">
        <v>286</v>
      </c>
      <c r="C67" s="697" t="e">
        <f>_xlfn.RANK.EQ(C27,$C$27:$C$40,0)</f>
        <v>#N/A</v>
      </c>
      <c r="D67" s="698" t="e">
        <f>_xlfn.RANK.EQ(D27,$D$27:$D$40,0)</f>
        <v>#N/A</v>
      </c>
      <c r="E67" s="671"/>
      <c r="F67" s="699">
        <f>_xlfn.RANK.EQ(F27,$F$27:$F$40,0)</f>
        <v>1</v>
      </c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 t="s">
        <v>307</v>
      </c>
      <c r="C68" s="697" t="e">
        <f t="shared" ref="C68:C80" si="20">_xlfn.RANK.EQ(C28,$C$27:$C$40,0)</f>
        <v>#N/A</v>
      </c>
      <c r="D68" s="698" t="e">
        <f t="shared" ref="D68:D80" si="21">_xlfn.RANK.EQ(D28,$D$27:$D$40,0)</f>
        <v>#N/A</v>
      </c>
      <c r="E68" s="671"/>
      <c r="F68" s="699">
        <f t="shared" ref="F68:F80" si="22">_xlfn.RANK.EQ(F28,$F$27:$F$40,0)</f>
        <v>1</v>
      </c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 t="s">
        <v>287</v>
      </c>
      <c r="C69" s="697" t="e">
        <f t="shared" si="20"/>
        <v>#N/A</v>
      </c>
      <c r="D69" s="698" t="e">
        <f t="shared" si="21"/>
        <v>#N/A</v>
      </c>
      <c r="E69" s="671"/>
      <c r="F69" s="699">
        <f t="shared" si="22"/>
        <v>1</v>
      </c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 t="s">
        <v>288</v>
      </c>
      <c r="C70" s="697" t="e">
        <f t="shared" si="20"/>
        <v>#N/A</v>
      </c>
      <c r="D70" s="698" t="e">
        <f t="shared" si="21"/>
        <v>#N/A</v>
      </c>
      <c r="E70" s="671"/>
      <c r="F70" s="699">
        <f t="shared" si="22"/>
        <v>1</v>
      </c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 t="s">
        <v>305</v>
      </c>
      <c r="C71" s="697" t="e">
        <f t="shared" si="20"/>
        <v>#N/A</v>
      </c>
      <c r="D71" s="698" t="e">
        <f t="shared" si="21"/>
        <v>#N/A</v>
      </c>
      <c r="E71" s="671"/>
      <c r="F71" s="699">
        <f t="shared" si="22"/>
        <v>1</v>
      </c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 t="s">
        <v>289</v>
      </c>
      <c r="C72" s="697" t="e">
        <f t="shared" si="20"/>
        <v>#N/A</v>
      </c>
      <c r="D72" s="698" t="e">
        <f t="shared" si="21"/>
        <v>#N/A</v>
      </c>
      <c r="E72" s="671"/>
      <c r="F72" s="699">
        <f t="shared" si="22"/>
        <v>1</v>
      </c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 t="s">
        <v>306</v>
      </c>
      <c r="C73" s="697" t="e">
        <f t="shared" si="20"/>
        <v>#N/A</v>
      </c>
      <c r="D73" s="698" t="e">
        <f t="shared" si="21"/>
        <v>#N/A</v>
      </c>
      <c r="E73" s="671"/>
      <c r="F73" s="699">
        <f t="shared" si="22"/>
        <v>1</v>
      </c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 t="s">
        <v>290</v>
      </c>
      <c r="C74" s="697" t="e">
        <f t="shared" si="20"/>
        <v>#N/A</v>
      </c>
      <c r="D74" s="698" t="e">
        <f t="shared" si="21"/>
        <v>#N/A</v>
      </c>
      <c r="E74" s="671"/>
      <c r="F74" s="699">
        <f t="shared" si="22"/>
        <v>1</v>
      </c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 t="s">
        <v>291</v>
      </c>
      <c r="C75" s="697" t="e">
        <f t="shared" si="20"/>
        <v>#N/A</v>
      </c>
      <c r="D75" s="698" t="e">
        <f t="shared" si="21"/>
        <v>#N/A</v>
      </c>
      <c r="E75" s="671"/>
      <c r="F75" s="699">
        <f t="shared" si="22"/>
        <v>1</v>
      </c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 t="s">
        <v>292</v>
      </c>
      <c r="C76" s="697" t="e">
        <f t="shared" si="20"/>
        <v>#N/A</v>
      </c>
      <c r="D76" s="698" t="e">
        <f t="shared" si="21"/>
        <v>#N/A</v>
      </c>
      <c r="E76" s="671"/>
      <c r="F76" s="699">
        <f t="shared" si="22"/>
        <v>1</v>
      </c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 t="s">
        <v>293</v>
      </c>
      <c r="C77" s="697" t="e">
        <f t="shared" si="20"/>
        <v>#N/A</v>
      </c>
      <c r="D77" s="698" t="e">
        <f t="shared" si="21"/>
        <v>#N/A</v>
      </c>
      <c r="E77" s="671"/>
      <c r="F77" s="699">
        <f t="shared" si="22"/>
        <v>1</v>
      </c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 t="s">
        <v>294</v>
      </c>
      <c r="C78" s="697" t="e">
        <f t="shared" si="20"/>
        <v>#N/A</v>
      </c>
      <c r="D78" s="698" t="e">
        <f t="shared" si="21"/>
        <v>#N/A</v>
      </c>
      <c r="E78" s="671"/>
      <c r="F78" s="699">
        <f t="shared" si="22"/>
        <v>1</v>
      </c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 t="s">
        <v>295</v>
      </c>
      <c r="C79" s="697" t="e">
        <f t="shared" si="20"/>
        <v>#N/A</v>
      </c>
      <c r="D79" s="698" t="e">
        <f t="shared" si="21"/>
        <v>#N/A</v>
      </c>
      <c r="E79" s="671"/>
      <c r="F79" s="699">
        <f t="shared" si="22"/>
        <v>1</v>
      </c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 t="s">
        <v>296</v>
      </c>
      <c r="C80" s="700" t="e">
        <f t="shared" si="20"/>
        <v>#N/A</v>
      </c>
      <c r="D80" s="701" t="e">
        <f t="shared" si="21"/>
        <v>#N/A</v>
      </c>
      <c r="E80" s="680"/>
      <c r="F80" s="702">
        <f t="shared" si="22"/>
        <v>1</v>
      </c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159</v>
      </c>
      <c r="C3" t="s">
        <v>143</v>
      </c>
    </row>
    <row r="5" spans="2:6" ht="15" customHeight="1" x14ac:dyDescent="0.2">
      <c r="B5" s="1073" t="s">
        <v>267</v>
      </c>
      <c r="C5" s="174" t="s">
        <v>78</v>
      </c>
      <c r="D5" s="1075" t="s">
        <v>79</v>
      </c>
      <c r="E5" s="1075"/>
      <c r="F5" s="251" t="s">
        <v>80</v>
      </c>
    </row>
    <row r="6" spans="2:6" ht="30" customHeight="1" x14ac:dyDescent="0.2">
      <c r="B6" s="1074"/>
      <c r="C6" s="173" t="s">
        <v>326</v>
      </c>
      <c r="D6" s="173" t="s">
        <v>326</v>
      </c>
      <c r="E6" s="217" t="s">
        <v>82</v>
      </c>
      <c r="F6" s="252" t="s">
        <v>326</v>
      </c>
    </row>
    <row r="7" spans="2:6" ht="15" customHeight="1" x14ac:dyDescent="0.2">
      <c r="B7" s="220" t="s">
        <v>92</v>
      </c>
      <c r="C7" s="221"/>
      <c r="D7" s="221"/>
      <c r="E7" s="221"/>
      <c r="F7" s="221"/>
    </row>
    <row r="8" spans="2:6" ht="15" customHeight="1" x14ac:dyDescent="0.2">
      <c r="B8" s="222" t="s">
        <v>360</v>
      </c>
      <c r="C8" s="43">
        <f>'Section 3 data'!$D$31</f>
        <v>5.1269999999999998</v>
      </c>
      <c r="D8" s="44">
        <f>'Section 3 data'!$E$31</f>
        <v>3.0750000000000002</v>
      </c>
      <c r="E8" s="205">
        <f>'Section 3 data'!$F$31</f>
        <v>43.105124072062488</v>
      </c>
      <c r="F8" s="206">
        <f>SUM(C8,D8)</f>
        <v>8.202</v>
      </c>
    </row>
    <row r="9" spans="2:6" ht="15" customHeight="1" x14ac:dyDescent="0.2">
      <c r="B9" s="225" t="s">
        <v>361</v>
      </c>
      <c r="C9" s="43">
        <f>'Section 3 data'!$D$32</f>
        <v>693.78899999999999</v>
      </c>
      <c r="D9" s="249">
        <f>'Section 3 data'!$E$32</f>
        <v>480.685</v>
      </c>
      <c r="E9" s="205">
        <f>'Section 3 data'!$F$32</f>
        <v>16.292827417427155</v>
      </c>
      <c r="F9" s="206">
        <f t="shared" ref="F9:F15" si="0">SUM(C9,D9)</f>
        <v>1174.4739999999999</v>
      </c>
    </row>
    <row r="10" spans="2:6" ht="15" customHeight="1" x14ac:dyDescent="0.2">
      <c r="B10" s="222" t="s">
        <v>362</v>
      </c>
      <c r="C10" s="43">
        <f>'Section 3 data'!$D$33</f>
        <v>7316.4279999999999</v>
      </c>
      <c r="D10" s="44">
        <f>'Section 3 data'!$E$33</f>
        <v>14647.669</v>
      </c>
      <c r="E10" s="205">
        <f>'Section 3 data'!$F$33</f>
        <v>6.0764027655986776</v>
      </c>
      <c r="F10" s="206">
        <f t="shared" si="0"/>
        <v>21964.097000000002</v>
      </c>
    </row>
    <row r="11" spans="2:6" ht="15" customHeight="1" x14ac:dyDescent="0.2">
      <c r="B11" s="222" t="s">
        <v>363</v>
      </c>
      <c r="C11" s="43">
        <f>'Section 3 data'!$D$34</f>
        <v>12454.168</v>
      </c>
      <c r="D11" s="44">
        <f>'Section 3 data'!$E$34</f>
        <v>34734.864999999998</v>
      </c>
      <c r="E11" s="250">
        <f>'Section 3 data'!$F$34</f>
        <v>3.9261782736187372</v>
      </c>
      <c r="F11" s="206">
        <f t="shared" si="0"/>
        <v>47189.032999999996</v>
      </c>
    </row>
    <row r="12" spans="2:6" ht="15" customHeight="1" x14ac:dyDescent="0.2">
      <c r="B12" s="222" t="s">
        <v>364</v>
      </c>
      <c r="C12" s="43">
        <f>'Section 3 data'!$D$35</f>
        <v>4159.808</v>
      </c>
      <c r="D12" s="44">
        <f>'Section 3 data'!$E$35</f>
        <v>10261.851000000001</v>
      </c>
      <c r="E12" s="250">
        <f>'Section 3 data'!$F$35</f>
        <v>9.263942946119359</v>
      </c>
      <c r="F12" s="206">
        <f t="shared" si="0"/>
        <v>14421.659</v>
      </c>
    </row>
    <row r="13" spans="2:6" ht="15" customHeight="1" x14ac:dyDescent="0.2">
      <c r="B13" s="222" t="s">
        <v>365</v>
      </c>
      <c r="C13" s="43">
        <f>'Section 3 data'!$D$36</f>
        <v>1446.6690000000001</v>
      </c>
      <c r="D13" s="44">
        <f>'Section 3 data'!$E$36</f>
        <v>2050.6309999999999</v>
      </c>
      <c r="E13" s="205">
        <f>'Section 3 data'!$F$36</f>
        <v>24.832200596304823</v>
      </c>
      <c r="F13" s="206">
        <f t="shared" si="0"/>
        <v>3497.3</v>
      </c>
    </row>
    <row r="14" spans="2:6" ht="15" customHeight="1" x14ac:dyDescent="0.2">
      <c r="B14" s="222" t="s">
        <v>366</v>
      </c>
      <c r="C14" s="43">
        <f>'Section 3 data'!$D$37</f>
        <v>299.97900000000004</v>
      </c>
      <c r="D14" s="44">
        <f>'Section 3 data'!$E$37</f>
        <v>1440.7739999999999</v>
      </c>
      <c r="E14" s="205">
        <f>'Section 3 data'!$F$37</f>
        <v>22.201553733390998</v>
      </c>
      <c r="F14" s="206">
        <f t="shared" si="0"/>
        <v>1740.7529999999999</v>
      </c>
    </row>
    <row r="15" spans="2:6" ht="15" customHeight="1" x14ac:dyDescent="0.2">
      <c r="B15" s="226" t="s">
        <v>80</v>
      </c>
      <c r="C15" s="66">
        <f>'Section 3 data'!$D$6</f>
        <v>26375.967000000001</v>
      </c>
      <c r="D15" s="66">
        <f>'Section 3 data'!$E$6</f>
        <v>63619.548999999999</v>
      </c>
      <c r="E15" s="209">
        <f>'Section 3 data'!$F$6</f>
        <v>2.44942320338764</v>
      </c>
      <c r="F15" s="238">
        <f t="shared" si="0"/>
        <v>89995.516000000003</v>
      </c>
    </row>
    <row r="16" spans="2:6" ht="15" customHeight="1" x14ac:dyDescent="0.2">
      <c r="B16" s="220" t="s">
        <v>105</v>
      </c>
      <c r="C16" s="244"/>
      <c r="D16" s="244"/>
      <c r="E16" s="244"/>
      <c r="F16" s="244"/>
    </row>
    <row r="17" spans="2:6" ht="15" customHeight="1" x14ac:dyDescent="0.2">
      <c r="B17" s="222" t="s">
        <v>360</v>
      </c>
      <c r="C17" s="43">
        <v>1.9E-2</v>
      </c>
      <c r="D17" s="44">
        <v>1.3320000000000001</v>
      </c>
      <c r="E17" s="205">
        <v>45.38</v>
      </c>
      <c r="F17" s="206">
        <f t="shared" ref="F17:F24" si="1">SUM(C17,D17)</f>
        <v>1.351</v>
      </c>
    </row>
    <row r="18" spans="2:6" ht="15" customHeight="1" x14ac:dyDescent="0.2">
      <c r="B18" s="225" t="s">
        <v>361</v>
      </c>
      <c r="C18" s="43">
        <v>2.1349999999999998</v>
      </c>
      <c r="D18" s="249">
        <v>152.846</v>
      </c>
      <c r="E18" s="205">
        <v>19.899999999999999</v>
      </c>
      <c r="F18" s="206">
        <f t="shared" si="1"/>
        <v>154.98099999999999</v>
      </c>
    </row>
    <row r="19" spans="2:6" ht="15" customHeight="1" x14ac:dyDescent="0.2">
      <c r="B19" s="222" t="s">
        <v>362</v>
      </c>
      <c r="C19" s="43">
        <v>15.594000000000001</v>
      </c>
      <c r="D19" s="44">
        <v>928.27600000000007</v>
      </c>
      <c r="E19" s="205">
        <v>11.628084380997972</v>
      </c>
      <c r="F19" s="206">
        <f t="shared" si="1"/>
        <v>943.87000000000012</v>
      </c>
    </row>
    <row r="20" spans="2:6" ht="15" customHeight="1" x14ac:dyDescent="0.2">
      <c r="B20" s="222" t="s">
        <v>363</v>
      </c>
      <c r="C20" s="43">
        <v>85.721999999999994</v>
      </c>
      <c r="D20" s="44">
        <v>1425.788</v>
      </c>
      <c r="E20" s="250">
        <v>13.684656882766683</v>
      </c>
      <c r="F20" s="206">
        <f t="shared" si="1"/>
        <v>1511.51</v>
      </c>
    </row>
    <row r="21" spans="2:6" ht="15" customHeight="1" x14ac:dyDescent="0.2">
      <c r="B21" s="222" t="s">
        <v>364</v>
      </c>
      <c r="C21" s="43">
        <v>108.499</v>
      </c>
      <c r="D21" s="44">
        <v>2299.3440000000001</v>
      </c>
      <c r="E21" s="250">
        <v>16.12</v>
      </c>
      <c r="F21" s="206">
        <f t="shared" si="1"/>
        <v>2407.8429999999998</v>
      </c>
    </row>
    <row r="22" spans="2:6" ht="15" customHeight="1" x14ac:dyDescent="0.2">
      <c r="B22" s="222" t="s">
        <v>365</v>
      </c>
      <c r="C22" s="43">
        <v>40.350999999999999</v>
      </c>
      <c r="D22" s="44">
        <v>1910.665</v>
      </c>
      <c r="E22" s="250">
        <v>14.67</v>
      </c>
      <c r="F22" s="206">
        <f t="shared" si="1"/>
        <v>1951.0160000000001</v>
      </c>
    </row>
    <row r="23" spans="2:6" ht="15" customHeight="1" x14ac:dyDescent="0.2">
      <c r="B23" s="222" t="s">
        <v>366</v>
      </c>
      <c r="C23" s="43">
        <v>95.588000000000008</v>
      </c>
      <c r="D23" s="44">
        <v>659.56200000000001</v>
      </c>
      <c r="E23" s="205">
        <v>35.564964410922563</v>
      </c>
      <c r="F23" s="206">
        <f t="shared" si="1"/>
        <v>755.15</v>
      </c>
    </row>
    <row r="24" spans="2:6" ht="15" customHeight="1" x14ac:dyDescent="0.2">
      <c r="B24" s="226" t="s">
        <v>80</v>
      </c>
      <c r="C24" s="66">
        <f>'Section 3 data'!$D$7</f>
        <v>8760.9670000000006</v>
      </c>
      <c r="D24" s="66">
        <f>'Section 3 data'!$E$7</f>
        <v>169181.13</v>
      </c>
      <c r="E24" s="209">
        <f>'Section 3 data'!$F$7</f>
        <v>1.6188044985800498</v>
      </c>
      <c r="F24" s="238">
        <f t="shared" si="1"/>
        <v>177942.09700000001</v>
      </c>
    </row>
    <row r="25" spans="2:6" ht="15" customHeight="1" x14ac:dyDescent="0.2">
      <c r="B25" s="220" t="s">
        <v>106</v>
      </c>
      <c r="C25" s="244"/>
      <c r="D25" s="244"/>
      <c r="E25" s="244"/>
      <c r="F25" s="244"/>
    </row>
    <row r="26" spans="2:6" ht="15" customHeight="1" x14ac:dyDescent="0.2">
      <c r="B26" s="222" t="s">
        <v>360</v>
      </c>
      <c r="C26" s="43">
        <f>'Section 3 data'!$D$47</f>
        <v>5.3120000000000003</v>
      </c>
      <c r="D26" s="44">
        <f>'Section 3 data'!$E$47</f>
        <v>172.727</v>
      </c>
      <c r="E26" s="205">
        <f>'Section 3 data'!$F$47</f>
        <v>15.625237423616307</v>
      </c>
      <c r="F26" s="206">
        <f t="shared" ref="F26:F33" si="2">SUM(C26,D26)</f>
        <v>178.03900000000002</v>
      </c>
    </row>
    <row r="27" spans="2:6" ht="15" customHeight="1" x14ac:dyDescent="0.2">
      <c r="B27" s="225" t="s">
        <v>361</v>
      </c>
      <c r="C27" s="43">
        <f>'Section 3 data'!$D$48</f>
        <v>742.74199999999996</v>
      </c>
      <c r="D27" s="249">
        <f>'Section 3 data'!$E$48</f>
        <v>4775.5630000000001</v>
      </c>
      <c r="E27" s="205">
        <f>'Section 3 data'!$F$48</f>
        <v>4.7437423305415898</v>
      </c>
      <c r="F27" s="206">
        <f t="shared" si="2"/>
        <v>5518.3050000000003</v>
      </c>
    </row>
    <row r="28" spans="2:6" ht="15" customHeight="1" x14ac:dyDescent="0.2">
      <c r="B28" s="222" t="s">
        <v>362</v>
      </c>
      <c r="C28" s="43">
        <f>'Section 3 data'!$D$49</f>
        <v>7664.1930000000002</v>
      </c>
      <c r="D28" s="44">
        <f>'Section 3 data'!$E$49</f>
        <v>41916.129999999997</v>
      </c>
      <c r="E28" s="205">
        <f>'Section 3 data'!$F$49</f>
        <v>2.8508436880943364</v>
      </c>
      <c r="F28" s="206">
        <f t="shared" si="2"/>
        <v>49580.322999999997</v>
      </c>
    </row>
    <row r="29" spans="2:6" ht="15" customHeight="1" x14ac:dyDescent="0.2">
      <c r="B29" s="222" t="s">
        <v>363</v>
      </c>
      <c r="C29" s="43">
        <f>'Section 3 data'!$D$50</f>
        <v>14328.955</v>
      </c>
      <c r="D29" s="44">
        <f>'Section 3 data'!$E$50</f>
        <v>67647.819000000003</v>
      </c>
      <c r="E29" s="250">
        <f>'Section 3 data'!$F$50</f>
        <v>2.6224114330640562</v>
      </c>
      <c r="F29" s="206">
        <f t="shared" si="2"/>
        <v>81976.774000000005</v>
      </c>
    </row>
    <row r="30" spans="2:6" ht="15" customHeight="1" x14ac:dyDescent="0.2">
      <c r="B30" s="222" t="s">
        <v>364</v>
      </c>
      <c r="C30" s="43">
        <f>'Section 3 data'!$D$51</f>
        <v>6527.9380000000001</v>
      </c>
      <c r="D30" s="44">
        <f>'Section 3 data'!$E$51</f>
        <v>48086.010999999999</v>
      </c>
      <c r="E30" s="250">
        <f>'Section 3 data'!$F$51</f>
        <v>3.6292060030289583</v>
      </c>
      <c r="F30" s="206">
        <f t="shared" si="2"/>
        <v>54613.949000000001</v>
      </c>
    </row>
    <row r="31" spans="2:6" ht="15" customHeight="1" x14ac:dyDescent="0.2">
      <c r="B31" s="222" t="s">
        <v>365</v>
      </c>
      <c r="C31" s="43">
        <f>'Section 3 data'!$D$52</f>
        <v>2292.2339999999999</v>
      </c>
      <c r="D31" s="44">
        <f>'Section 3 data'!$E$52</f>
        <v>42510.186000000002</v>
      </c>
      <c r="E31" s="250">
        <f>'Section 3 data'!$F$52</f>
        <v>4.3383175044066284</v>
      </c>
      <c r="F31" s="206">
        <f t="shared" si="2"/>
        <v>44802.42</v>
      </c>
    </row>
    <row r="32" spans="2:6" ht="15" customHeight="1" x14ac:dyDescent="0.2">
      <c r="B32" s="222" t="s">
        <v>366</v>
      </c>
      <c r="C32" s="43">
        <f>'Section 3 data'!$D$53</f>
        <v>3575.5569999999998</v>
      </c>
      <c r="D32" s="44">
        <f>'Section 3 data'!$E$53</f>
        <v>27613.785</v>
      </c>
      <c r="E32" s="205">
        <f>'Section 3 data'!$F$53</f>
        <v>6.2501796391564692</v>
      </c>
      <c r="F32" s="206">
        <f t="shared" si="2"/>
        <v>31189.342000000001</v>
      </c>
    </row>
    <row r="33" spans="2:6" ht="15" customHeight="1" x14ac:dyDescent="0.2">
      <c r="B33" s="228" t="s">
        <v>80</v>
      </c>
      <c r="C33" s="240">
        <f>'Section 3 data'!$D$5</f>
        <v>35136.934000000001</v>
      </c>
      <c r="D33" s="240">
        <f>'Section 3 data'!$E$5</f>
        <v>232722.22099999999</v>
      </c>
      <c r="E33" s="213">
        <f>'Section 3 data'!$F$5</f>
        <v>1.3249205983688215</v>
      </c>
      <c r="F33" s="242">
        <f t="shared" si="2"/>
        <v>267859.15499999997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2C73CAD-0174-4EC8-BC67-DD50F07E6DDA}">
            <xm:f>IF($E8&gt;Sheet1!$F$4,1,)</xm:f>
            <x14:dxf>
              <font>
                <color theme="0" tint="-0.499984740745262"/>
              </font>
            </x14:dxf>
          </x14:cfRule>
          <xm:sqref>D8:F15</xm:sqref>
        </x14:conditionalFormatting>
        <x14:conditionalFormatting xmlns:xm="http://schemas.microsoft.com/office/excel/2006/main">
          <x14:cfRule type="expression" priority="3" id="{8F9287ED-1FA1-46DE-9066-D93C39FB9CBF}">
            <xm:f>IF($E17&gt;Sheet1!$F$4,1,)</xm:f>
            <x14:dxf>
              <font>
                <color rgb="FF808080"/>
              </font>
            </x14:dxf>
          </x14:cfRule>
          <xm:sqref>D17:F24</xm:sqref>
        </x14:conditionalFormatting>
        <x14:conditionalFormatting xmlns:xm="http://schemas.microsoft.com/office/excel/2006/main">
          <x14:cfRule type="expression" priority="2" id="{0E1D7AD0-D130-4DC1-99C4-C45E6B4888AB}">
            <xm:f>IF($E26&gt;Sheet1!$F$4,1,)</xm:f>
            <x14:dxf>
              <font>
                <color rgb="FF808080"/>
              </font>
            </x14:dxf>
          </x14:cfRule>
          <xm:sqref>D26:E33</xm:sqref>
        </x14:conditionalFormatting>
        <x14:conditionalFormatting xmlns:xm="http://schemas.microsoft.com/office/excel/2006/main">
          <x14:cfRule type="cellIs" priority="1" operator="between" id="{CF90E9B3-E620-4F49-B03B-CACB5B60C8AD}">
            <xm:f>Sheet1!$D$4</xm:f>
            <xm:f>Sheet1!$E$4</xm:f>
            <x14:dxf>
              <numFmt numFmtId="173" formatCode="&quot;&lt; 1&quot;"/>
            </x14:dxf>
          </x14:cfRule>
          <xm:sqref>C8:D15 F8:F15 C17:D24 F17:F24 C26:D33 F26:F33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0.59999389629810485"/>
  </sheetPr>
  <dimension ref="B3:F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165</v>
      </c>
      <c r="C3" t="s">
        <v>144</v>
      </c>
    </row>
    <row r="5" spans="2:6" ht="15" customHeight="1" x14ac:dyDescent="0.2">
      <c r="B5" s="1073" t="s">
        <v>269</v>
      </c>
      <c r="C5" s="174" t="s">
        <v>78</v>
      </c>
      <c r="D5" s="1075" t="s">
        <v>79</v>
      </c>
      <c r="E5" s="1075"/>
      <c r="F5" s="251" t="s">
        <v>80</v>
      </c>
    </row>
    <row r="6" spans="2:6" ht="30" customHeight="1" x14ac:dyDescent="0.2">
      <c r="B6" s="1074"/>
      <c r="C6" s="173" t="s">
        <v>326</v>
      </c>
      <c r="D6" s="173" t="s">
        <v>326</v>
      </c>
      <c r="E6" s="217" t="s">
        <v>82</v>
      </c>
      <c r="F6" s="252" t="s">
        <v>326</v>
      </c>
    </row>
    <row r="7" spans="2:6" ht="15" customHeight="1" x14ac:dyDescent="0.2">
      <c r="B7" s="243" t="s">
        <v>92</v>
      </c>
      <c r="C7" s="244"/>
      <c r="D7" s="244"/>
      <c r="E7" s="244"/>
      <c r="F7" s="244"/>
    </row>
    <row r="8" spans="2:6" ht="15" customHeight="1" x14ac:dyDescent="0.2">
      <c r="B8" s="233" t="s">
        <v>367</v>
      </c>
      <c r="C8" s="43">
        <f>'Section 3 data'!$D$58</f>
        <v>2.2949999999999999</v>
      </c>
      <c r="D8" s="44">
        <f>'Section 3 data'!$E$58</f>
        <v>5.2270000000000003</v>
      </c>
      <c r="E8" s="205">
        <f>'Section 3 data'!$F$58</f>
        <v>33.460036797605817</v>
      </c>
      <c r="F8" s="206">
        <f>SUM(C8,D8)</f>
        <v>7.5220000000000002</v>
      </c>
    </row>
    <row r="9" spans="2:6" ht="15" customHeight="1" x14ac:dyDescent="0.2">
      <c r="B9" s="234" t="s">
        <v>368</v>
      </c>
      <c r="C9" s="43">
        <f>'Section 3 data'!$D$59</f>
        <v>139.02099999999999</v>
      </c>
      <c r="D9" s="44">
        <f>'Section 3 data'!$E$59</f>
        <v>242.102</v>
      </c>
      <c r="E9" s="205">
        <f>'Section 3 data'!$F$59</f>
        <v>14.01054431294787</v>
      </c>
      <c r="F9" s="206">
        <f t="shared" ref="F9:F17" si="0">SUM(C9,D9)</f>
        <v>381.12299999999999</v>
      </c>
    </row>
    <row r="10" spans="2:6" ht="15" customHeight="1" x14ac:dyDescent="0.2">
      <c r="B10" s="235" t="s">
        <v>369</v>
      </c>
      <c r="C10" s="43">
        <f>'Section 3 data'!$D$60</f>
        <v>2427.3470000000002</v>
      </c>
      <c r="D10" s="44">
        <f>'Section 3 data'!$E$60</f>
        <v>1615.317</v>
      </c>
      <c r="E10" s="205">
        <f>'Section 3 data'!$F$60</f>
        <v>11.084859022130575</v>
      </c>
      <c r="F10" s="206">
        <f t="shared" si="0"/>
        <v>4042.6640000000002</v>
      </c>
    </row>
    <row r="11" spans="2:6" ht="15" customHeight="1" x14ac:dyDescent="0.2">
      <c r="B11" s="233" t="s">
        <v>370</v>
      </c>
      <c r="C11" s="43">
        <f>'Section 3 data'!$D$61</f>
        <v>5411.5910000000003</v>
      </c>
      <c r="D11" s="44">
        <f>'Section 3 data'!$E$61</f>
        <v>4920.7839999999997</v>
      </c>
      <c r="E11" s="205">
        <f>'Section 3 data'!$F$61</f>
        <v>7.8924180336362353</v>
      </c>
      <c r="F11" s="206">
        <f t="shared" si="0"/>
        <v>10332.375</v>
      </c>
    </row>
    <row r="12" spans="2:6" ht="15" customHeight="1" x14ac:dyDescent="0.2">
      <c r="B12" s="233" t="s">
        <v>371</v>
      </c>
      <c r="C12" s="43">
        <f>'Section 3 data'!$D$62</f>
        <v>7543.76</v>
      </c>
      <c r="D12" s="44">
        <f>'Section 3 data'!$E$62</f>
        <v>18811.916000000001</v>
      </c>
      <c r="E12" s="205">
        <f>'Section 3 data'!$F$62</f>
        <v>5.0152401686211583</v>
      </c>
      <c r="F12" s="206">
        <f t="shared" si="0"/>
        <v>26355.675999999999</v>
      </c>
    </row>
    <row r="13" spans="2:6" ht="15" customHeight="1" x14ac:dyDescent="0.2">
      <c r="B13" s="233" t="s">
        <v>372</v>
      </c>
      <c r="C13" s="43">
        <f>'Section 3 data'!$D$63</f>
        <v>5528.2910000000002</v>
      </c>
      <c r="D13" s="44">
        <f>'Section 3 data'!$E$63</f>
        <v>19182.626</v>
      </c>
      <c r="E13" s="205">
        <f>'Section 3 data'!$F$63</f>
        <v>4.7813257437508323</v>
      </c>
      <c r="F13" s="206">
        <f t="shared" si="0"/>
        <v>24710.917000000001</v>
      </c>
    </row>
    <row r="14" spans="2:6" ht="15" customHeight="1" x14ac:dyDescent="0.2">
      <c r="B14" s="233" t="s">
        <v>373</v>
      </c>
      <c r="C14" s="43">
        <f>'Section 3 data'!$D$64</f>
        <v>4748.2879999999996</v>
      </c>
      <c r="D14" s="44">
        <f>'Section 3 data'!$E$64</f>
        <v>15026.465</v>
      </c>
      <c r="E14" s="205">
        <f>'Section 3 data'!$F$64</f>
        <v>6.8256925660673984</v>
      </c>
      <c r="F14" s="206">
        <f t="shared" si="0"/>
        <v>19774.753000000001</v>
      </c>
    </row>
    <row r="15" spans="2:6" ht="15" customHeight="1" x14ac:dyDescent="0.2">
      <c r="B15" s="233" t="s">
        <v>374</v>
      </c>
      <c r="C15" s="43">
        <f>'Section 3 data'!$D$65</f>
        <v>482.76299999999998</v>
      </c>
      <c r="D15" s="44">
        <f>'Section 3 data'!$E$65</f>
        <v>2031.1420000000001</v>
      </c>
      <c r="E15" s="205">
        <f>'Section 3 data'!$F$65</f>
        <v>22.690077140374562</v>
      </c>
      <c r="F15" s="206">
        <f t="shared" si="0"/>
        <v>2513.9050000000002</v>
      </c>
    </row>
    <row r="16" spans="2:6" ht="15" customHeight="1" x14ac:dyDescent="0.2">
      <c r="B16" s="233" t="s">
        <v>375</v>
      </c>
      <c r="C16" s="43">
        <f>'Section 3 data'!$D$66</f>
        <v>92.611999999999995</v>
      </c>
      <c r="D16" s="44">
        <f>'Section 3 data'!$E$66</f>
        <v>1783.97</v>
      </c>
      <c r="E16" s="205">
        <f>'Section 3 data'!$F$66</f>
        <v>20.236127285727257</v>
      </c>
      <c r="F16" s="206">
        <f t="shared" si="0"/>
        <v>1876.5820000000001</v>
      </c>
    </row>
    <row r="17" spans="2:6" ht="15" customHeight="1" x14ac:dyDescent="0.2">
      <c r="B17" s="236" t="s">
        <v>80</v>
      </c>
      <c r="C17" s="66">
        <f>'Section 3 data'!$D$6</f>
        <v>26375.967000000001</v>
      </c>
      <c r="D17" s="66">
        <f>'Section 3 data'!$E$6</f>
        <v>63619.548999999999</v>
      </c>
      <c r="E17" s="237">
        <f>'Section 3 data'!$F$6</f>
        <v>2.44942320338764</v>
      </c>
      <c r="F17" s="238">
        <f t="shared" si="0"/>
        <v>89995.516000000003</v>
      </c>
    </row>
    <row r="18" spans="2:6" ht="15" customHeight="1" x14ac:dyDescent="0.2">
      <c r="B18" s="243" t="s">
        <v>105</v>
      </c>
      <c r="C18" s="244"/>
      <c r="D18" s="244"/>
      <c r="E18" s="244"/>
      <c r="F18" s="244"/>
    </row>
    <row r="19" spans="2:6" ht="15" customHeight="1" x14ac:dyDescent="0.2">
      <c r="B19" s="233" t="s">
        <v>367</v>
      </c>
      <c r="C19" s="43">
        <f>'Section 3 data'!$D$68</f>
        <v>15.93</v>
      </c>
      <c r="D19" s="44">
        <f>'Section 3 data'!$E$68</f>
        <v>538.80200000000002</v>
      </c>
      <c r="E19" s="205">
        <f>'Section 3 data'!$F$68</f>
        <v>6.0976887796185695</v>
      </c>
      <c r="F19" s="206">
        <f t="shared" ref="F19:F28" si="1">SUM(C19,D19)</f>
        <v>554.73199999999997</v>
      </c>
    </row>
    <row r="20" spans="2:6" ht="15" customHeight="1" x14ac:dyDescent="0.2">
      <c r="B20" s="234" t="s">
        <v>368</v>
      </c>
      <c r="C20" s="43">
        <f>'Section 3 data'!$D$69</f>
        <v>203.191</v>
      </c>
      <c r="D20" s="44">
        <f>'Section 3 data'!$E$69</f>
        <v>5505.3019999999997</v>
      </c>
      <c r="E20" s="205">
        <f>'Section 3 data'!$F$69</f>
        <v>2.7623872945213512</v>
      </c>
      <c r="F20" s="206">
        <f t="shared" si="1"/>
        <v>5708.4929999999995</v>
      </c>
    </row>
    <row r="21" spans="2:6" ht="15" customHeight="1" x14ac:dyDescent="0.2">
      <c r="B21" s="235" t="s">
        <v>369</v>
      </c>
      <c r="C21" s="43">
        <f>'Section 3 data'!$D$70</f>
        <v>894.41200000000003</v>
      </c>
      <c r="D21" s="44">
        <f>'Section 3 data'!$E$70</f>
        <v>13052.005999999999</v>
      </c>
      <c r="E21" s="205">
        <f>'Section 3 data'!$F$70</f>
        <v>3.1007803961298279</v>
      </c>
      <c r="F21" s="206">
        <f t="shared" si="1"/>
        <v>13946.418</v>
      </c>
    </row>
    <row r="22" spans="2:6" ht="15" customHeight="1" x14ac:dyDescent="0.2">
      <c r="B22" s="233" t="s">
        <v>370</v>
      </c>
      <c r="C22" s="43">
        <f>'Section 3 data'!$D$71</f>
        <v>1269.0039999999999</v>
      </c>
      <c r="D22" s="44">
        <f>'Section 3 data'!$E$71</f>
        <v>14382.206</v>
      </c>
      <c r="E22" s="205">
        <f>'Section 3 data'!$F$71</f>
        <v>3.7590742586174395</v>
      </c>
      <c r="F22" s="206">
        <f t="shared" si="1"/>
        <v>15651.21</v>
      </c>
    </row>
    <row r="23" spans="2:6" ht="15" customHeight="1" x14ac:dyDescent="0.2">
      <c r="B23" s="233" t="s">
        <v>371</v>
      </c>
      <c r="C23" s="43">
        <f>'Section 3 data'!$D$72</f>
        <v>3366.8960000000002</v>
      </c>
      <c r="D23" s="44">
        <f>'Section 3 data'!$E$72</f>
        <v>29525.295999999998</v>
      </c>
      <c r="E23" s="205">
        <f>'Section 3 data'!$F$72</f>
        <v>2.9706112436910543</v>
      </c>
      <c r="F23" s="206">
        <f t="shared" si="1"/>
        <v>32892.191999999995</v>
      </c>
    </row>
    <row r="24" spans="2:6" ht="15" customHeight="1" x14ac:dyDescent="0.2">
      <c r="B24" s="233" t="s">
        <v>372</v>
      </c>
      <c r="C24" s="43">
        <f>'Section 3 data'!$D$73</f>
        <v>2015.145</v>
      </c>
      <c r="D24" s="44">
        <f>'Section 3 data'!$E$73</f>
        <v>26225.871999999999</v>
      </c>
      <c r="E24" s="205">
        <f>'Section 3 data'!$F$73</f>
        <v>3.9926082681077606</v>
      </c>
      <c r="F24" s="206">
        <f t="shared" si="1"/>
        <v>28241.017</v>
      </c>
    </row>
    <row r="25" spans="2:6" ht="15" customHeight="1" x14ac:dyDescent="0.2">
      <c r="B25" s="233" t="s">
        <v>373</v>
      </c>
      <c r="C25" s="43">
        <f>'Section 3 data'!$D$74</f>
        <v>813.71400000000006</v>
      </c>
      <c r="D25" s="44">
        <f>'Section 3 data'!$E$74</f>
        <v>39663.307999999997</v>
      </c>
      <c r="E25" s="205">
        <f>'Section 3 data'!$F$74</f>
        <v>3.7497288079995945</v>
      </c>
      <c r="F25" s="206">
        <f t="shared" si="1"/>
        <v>40477.021999999997</v>
      </c>
    </row>
    <row r="26" spans="2:6" ht="15" customHeight="1" x14ac:dyDescent="0.2">
      <c r="B26" s="233" t="s">
        <v>374</v>
      </c>
      <c r="C26" s="43">
        <f>'Section 3 data'!$D$75</f>
        <v>147.72900000000001</v>
      </c>
      <c r="D26" s="44">
        <f>'Section 3 data'!$E$75</f>
        <v>21990.748</v>
      </c>
      <c r="E26" s="205">
        <f>'Section 3 data'!$F$75</f>
        <v>5.8867197329828427</v>
      </c>
      <c r="F26" s="206">
        <f t="shared" si="1"/>
        <v>22138.476999999999</v>
      </c>
    </row>
    <row r="27" spans="2:6" ht="15" customHeight="1" x14ac:dyDescent="0.2">
      <c r="B27" s="233" t="s">
        <v>375</v>
      </c>
      <c r="C27" s="43">
        <f>'Section 3 data'!$D$76</f>
        <v>34.942999999999998</v>
      </c>
      <c r="D27" s="44">
        <f>'Section 3 data'!$E$76</f>
        <v>18297.591</v>
      </c>
      <c r="E27" s="205">
        <f>'Section 3 data'!$F$76</f>
        <v>8.4310172916456043</v>
      </c>
      <c r="F27" s="206">
        <f t="shared" si="1"/>
        <v>18332.534</v>
      </c>
    </row>
    <row r="28" spans="2:6" ht="15" customHeight="1" x14ac:dyDescent="0.2">
      <c r="B28" s="236" t="s">
        <v>80</v>
      </c>
      <c r="C28" s="66">
        <f>'Section 3 data'!$D$7</f>
        <v>8760.9670000000006</v>
      </c>
      <c r="D28" s="66">
        <f>'Section 3 data'!$E$7</f>
        <v>169181.13</v>
      </c>
      <c r="E28" s="237">
        <f>'Section 3 data'!$F$7</f>
        <v>1.6188044985800498</v>
      </c>
      <c r="F28" s="238">
        <f t="shared" si="1"/>
        <v>177942.09700000001</v>
      </c>
    </row>
    <row r="29" spans="2:6" ht="15" customHeight="1" x14ac:dyDescent="0.2">
      <c r="B29" s="243" t="s">
        <v>106</v>
      </c>
      <c r="C29" s="244"/>
      <c r="D29" s="244"/>
      <c r="E29" s="244"/>
      <c r="F29" s="244"/>
    </row>
    <row r="30" spans="2:6" ht="15" customHeight="1" x14ac:dyDescent="0.2">
      <c r="B30" s="233" t="s">
        <v>367</v>
      </c>
      <c r="C30" s="43">
        <f>'Section 3 data'!$D$78</f>
        <v>18.222000000000001</v>
      </c>
      <c r="D30" s="44">
        <f>'Section 3 data'!$E$78</f>
        <v>544.46699999999998</v>
      </c>
      <c r="E30" s="205">
        <f>'Section 3 data'!$F$78</f>
        <v>6.0420924291910243</v>
      </c>
      <c r="F30" s="206">
        <f t="shared" ref="F30:F39" si="2">SUM(C30,D30)</f>
        <v>562.68899999999996</v>
      </c>
    </row>
    <row r="31" spans="2:6" ht="15" customHeight="1" x14ac:dyDescent="0.2">
      <c r="B31" s="234" t="s">
        <v>368</v>
      </c>
      <c r="C31" s="43">
        <f>'Section 3 data'!$D$79</f>
        <v>342.21</v>
      </c>
      <c r="D31" s="44">
        <f>'Section 3 data'!$E$79</f>
        <v>5754.1930000000002</v>
      </c>
      <c r="E31" s="205">
        <f>'Section 3 data'!$F$79</f>
        <v>2.7074548401088805</v>
      </c>
      <c r="F31" s="206">
        <f t="shared" si="2"/>
        <v>6096.4030000000002</v>
      </c>
    </row>
    <row r="32" spans="2:6" ht="15" customHeight="1" x14ac:dyDescent="0.2">
      <c r="B32" s="235" t="s">
        <v>369</v>
      </c>
      <c r="C32" s="43">
        <f>'Section 3 data'!$D$80</f>
        <v>3321.7579999999998</v>
      </c>
      <c r="D32" s="44">
        <f>'Section 3 data'!$E$80</f>
        <v>14693.807000000001</v>
      </c>
      <c r="E32" s="205">
        <f>'Section 3 data'!$F$80</f>
        <v>3.0056902916469896</v>
      </c>
      <c r="F32" s="206">
        <f t="shared" si="2"/>
        <v>18015.565000000002</v>
      </c>
    </row>
    <row r="33" spans="2:6" ht="15" customHeight="1" x14ac:dyDescent="0.2">
      <c r="B33" s="233" t="s">
        <v>370</v>
      </c>
      <c r="C33" s="43">
        <f>'Section 3 data'!$D$81</f>
        <v>6680.5969999999998</v>
      </c>
      <c r="D33" s="44">
        <f>'Section 3 data'!$E$81</f>
        <v>19341.521000000001</v>
      </c>
      <c r="E33" s="205">
        <f>'Section 3 data'!$F$81</f>
        <v>3.4679015597649117</v>
      </c>
      <c r="F33" s="206">
        <f t="shared" si="2"/>
        <v>26022.118000000002</v>
      </c>
    </row>
    <row r="34" spans="2:6" ht="15" customHeight="1" x14ac:dyDescent="0.2">
      <c r="B34" s="233" t="s">
        <v>371</v>
      </c>
      <c r="C34" s="43">
        <f>'Section 3 data'!$D$82</f>
        <v>10910.656000000001</v>
      </c>
      <c r="D34" s="44">
        <f>'Section 3 data'!$E$82</f>
        <v>48189.385999999999</v>
      </c>
      <c r="E34" s="205">
        <f>'Section 3 data'!$F$82</f>
        <v>2.6747782109362297</v>
      </c>
      <c r="F34" s="206">
        <f t="shared" si="2"/>
        <v>59100.042000000001</v>
      </c>
    </row>
    <row r="35" spans="2:6" ht="15" customHeight="1" x14ac:dyDescent="0.2">
      <c r="B35" s="233" t="s">
        <v>372</v>
      </c>
      <c r="C35" s="43">
        <f>'Section 3 data'!$D$83</f>
        <v>7543.4409999999998</v>
      </c>
      <c r="D35" s="44">
        <f>'Section 3 data'!$E$83</f>
        <v>45456.646999999997</v>
      </c>
      <c r="E35" s="205">
        <f>'Section 3 data'!$F$83</f>
        <v>3.0573139668486378</v>
      </c>
      <c r="F35" s="206">
        <f t="shared" si="2"/>
        <v>53000.087999999996</v>
      </c>
    </row>
    <row r="36" spans="2:6" ht="15" customHeight="1" x14ac:dyDescent="0.2">
      <c r="B36" s="233" t="s">
        <v>373</v>
      </c>
      <c r="C36" s="43">
        <f>'Section 3 data'!$D$84</f>
        <v>5562.0010000000002</v>
      </c>
      <c r="D36" s="44">
        <f>'Section 3 data'!$E$84</f>
        <v>54686.239999999998</v>
      </c>
      <c r="E36" s="205">
        <f>'Section 3 data'!$F$84</f>
        <v>3.3003509754404559</v>
      </c>
      <c r="F36" s="206">
        <f t="shared" si="2"/>
        <v>60248.240999999995</v>
      </c>
    </row>
    <row r="37" spans="2:6" ht="15" customHeight="1" x14ac:dyDescent="0.2">
      <c r="B37" s="233" t="s">
        <v>374</v>
      </c>
      <c r="C37" s="43">
        <f>'Section 3 data'!$D$85</f>
        <v>630.49099999999999</v>
      </c>
      <c r="D37" s="44">
        <f>'Section 3 data'!$E$85</f>
        <v>23943.234</v>
      </c>
      <c r="E37" s="205">
        <f>'Section 3 data'!$F$85</f>
        <v>5.7525543849095415</v>
      </c>
      <c r="F37" s="206">
        <f t="shared" si="2"/>
        <v>24573.724999999999</v>
      </c>
    </row>
    <row r="38" spans="2:6" ht="15" customHeight="1" x14ac:dyDescent="0.2">
      <c r="B38" s="233" t="s">
        <v>375</v>
      </c>
      <c r="C38" s="43">
        <f>'Section 3 data'!$D$86</f>
        <v>127.556</v>
      </c>
      <c r="D38" s="44">
        <f>'Section 3 data'!$E$86</f>
        <v>20112.724999999999</v>
      </c>
      <c r="E38" s="205">
        <f>'Section 3 data'!$F$86</f>
        <v>7.994898094820142</v>
      </c>
      <c r="F38" s="206">
        <f t="shared" si="2"/>
        <v>20240.280999999999</v>
      </c>
    </row>
    <row r="39" spans="2:6" ht="15" customHeight="1" x14ac:dyDescent="0.2">
      <c r="B39" s="239" t="s">
        <v>80</v>
      </c>
      <c r="C39" s="240">
        <f>'Section 3 data'!$D$5</f>
        <v>35136.934000000001</v>
      </c>
      <c r="D39" s="240">
        <f>'Section 3 data'!$E$5</f>
        <v>232722.22099999999</v>
      </c>
      <c r="E39" s="241">
        <f>'Section 3 data'!$F$5</f>
        <v>1.3249205983688215</v>
      </c>
      <c r="F39" s="242">
        <f t="shared" si="2"/>
        <v>267859.15499999997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0336117-E532-44D0-A990-00DF3877F29D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expression" priority="3" id="{CD4D26BA-A8DA-400D-92AA-9A8C14565F0D}">
            <xm:f>IF($E19&gt;Sheet1!$F$4,1,)</xm:f>
            <x14:dxf>
              <font>
                <color rgb="FF808080"/>
              </font>
            </x14:dxf>
          </x14:cfRule>
          <xm:sqref>D19:F28</xm:sqref>
        </x14:conditionalFormatting>
        <x14:conditionalFormatting xmlns:xm="http://schemas.microsoft.com/office/excel/2006/main">
          <x14:cfRule type="expression" priority="2" id="{A3E98977-946B-47F8-AE6C-7E1D16956213}">
            <xm:f>IF($E30&gt;Sheet1!$F$4,1,)</xm:f>
            <x14:dxf>
              <font>
                <color rgb="FF808080"/>
              </font>
            </x14:dxf>
          </x14:cfRule>
          <xm:sqref>D30:F39</xm:sqref>
        </x14:conditionalFormatting>
        <x14:conditionalFormatting xmlns:xm="http://schemas.microsoft.com/office/excel/2006/main">
          <x14:cfRule type="cellIs" priority="1" operator="between" id="{4710AF86-B347-4CF9-B7E9-76B0CE93F3C4}">
            <xm:f>Sheet1!$D$4</xm:f>
            <xm:f>Sheet1!$E$4</xm:f>
            <x14:dxf>
              <numFmt numFmtId="173" formatCode="&quot;&lt; 1&quot;"/>
            </x14:dxf>
          </x14:cfRule>
          <xm:sqref>C8:D17 F8:F17 C19:D28 F19:F28 C30:D39 F30:F39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Index!$E$41</f>
        <v>Number of measureable trees</v>
      </c>
    </row>
  </sheetData>
  <hyperlinks>
    <hyperlink ref="A1" location="Index!B32" display="Return to index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6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168</v>
      </c>
      <c r="C3" t="s">
        <v>981</v>
      </c>
    </row>
    <row r="5" spans="2:6" ht="15" customHeight="1" x14ac:dyDescent="0.2">
      <c r="B5" s="1055" t="s">
        <v>77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056"/>
      <c r="C6" s="36" t="s">
        <v>272</v>
      </c>
      <c r="D6" s="36" t="s">
        <v>272</v>
      </c>
      <c r="E6" s="3" t="s">
        <v>82</v>
      </c>
      <c r="F6" s="212" t="s">
        <v>272</v>
      </c>
    </row>
    <row r="7" spans="2:6" ht="15" customHeight="1" x14ac:dyDescent="0.2">
      <c r="B7" s="203" t="s">
        <v>83</v>
      </c>
      <c r="C7" s="204"/>
      <c r="D7" s="204"/>
      <c r="E7" s="4"/>
      <c r="F7" s="204"/>
    </row>
    <row r="8" spans="2:6" ht="15" customHeight="1" x14ac:dyDescent="0.2">
      <c r="B8" s="133" t="s">
        <v>84</v>
      </c>
      <c r="C8" s="43">
        <f>'Section 4 data'!$D$8</f>
        <v>73373.142999999996</v>
      </c>
      <c r="D8" s="44">
        <f>'Section 4 data'!$E$8</f>
        <v>40212.336000000003</v>
      </c>
      <c r="E8" s="205">
        <f>'Section 4 data'!$F$8</f>
        <v>8.7094134640449514</v>
      </c>
      <c r="F8" s="206">
        <f>SUM(C8,D8)</f>
        <v>113585.47899999999</v>
      </c>
    </row>
    <row r="9" spans="2:6" ht="15" customHeight="1" x14ac:dyDescent="0.2">
      <c r="B9" s="133" t="s">
        <v>85</v>
      </c>
      <c r="C9" s="43">
        <f>'Section 4 data'!$D$9</f>
        <v>10148.477999999999</v>
      </c>
      <c r="D9" s="44">
        <f>'Section 4 data'!$E$9</f>
        <v>31947.151999999998</v>
      </c>
      <c r="E9" s="205">
        <f>'Section 4 data'!$F$9</f>
        <v>5.8113461951288841</v>
      </c>
      <c r="F9" s="206">
        <f t="shared" ref="F9:F16" si="0">SUM(C9,D9)</f>
        <v>42095.63</v>
      </c>
    </row>
    <row r="10" spans="2:6" ht="15" customHeight="1" x14ac:dyDescent="0.2">
      <c r="B10" s="133" t="s">
        <v>86</v>
      </c>
      <c r="C10" s="43">
        <f>'Section 4 data'!$D$10</f>
        <v>29764.55</v>
      </c>
      <c r="D10" s="44">
        <f>'Section 4 data'!$E$10</f>
        <v>11537.432000000001</v>
      </c>
      <c r="E10" s="205">
        <f>'Section 4 data'!$F$10</f>
        <v>11.719536466412398</v>
      </c>
      <c r="F10" s="206">
        <f t="shared" si="0"/>
        <v>41301.982000000004</v>
      </c>
    </row>
    <row r="11" spans="2:6" ht="15" customHeight="1" x14ac:dyDescent="0.2">
      <c r="B11" s="133" t="s">
        <v>87</v>
      </c>
      <c r="C11" s="43">
        <f>'Section 4 data'!$D$11</f>
        <v>5172.7420000000002</v>
      </c>
      <c r="D11" s="44">
        <f>'Section 4 data'!$E$11</f>
        <v>19416.012999999999</v>
      </c>
      <c r="E11" s="205">
        <f>'Section 4 data'!$F$11</f>
        <v>8.0276846566491109</v>
      </c>
      <c r="F11" s="206">
        <f t="shared" si="0"/>
        <v>24588.754999999997</v>
      </c>
    </row>
    <row r="12" spans="2:6" ht="15" customHeight="1" x14ac:dyDescent="0.2">
      <c r="B12" s="133" t="s">
        <v>88</v>
      </c>
      <c r="C12" s="43">
        <f>'Section 4 data'!$D$12</f>
        <v>10839.898999999999</v>
      </c>
      <c r="D12" s="44">
        <f>'Section 4 data'!$E$12</f>
        <v>20891.810000000001</v>
      </c>
      <c r="E12" s="205">
        <f>'Section 4 data'!$F$12</f>
        <v>5.8216449787865852</v>
      </c>
      <c r="F12" s="206">
        <f t="shared" si="0"/>
        <v>31731.709000000003</v>
      </c>
    </row>
    <row r="13" spans="2:6" ht="15" customHeight="1" x14ac:dyDescent="0.2">
      <c r="B13" s="133" t="s">
        <v>89</v>
      </c>
      <c r="C13" s="43">
        <f>'Section 4 data'!$D$13</f>
        <v>7797.0690000000004</v>
      </c>
      <c r="D13" s="44">
        <f>'Section 4 data'!$E$13</f>
        <v>10936.966</v>
      </c>
      <c r="E13" s="205">
        <f>'Section 4 data'!$F$13</f>
        <v>11.217272903914631</v>
      </c>
      <c r="F13" s="206">
        <f t="shared" si="0"/>
        <v>18734.035</v>
      </c>
    </row>
    <row r="14" spans="2:6" ht="15" customHeight="1" x14ac:dyDescent="0.2">
      <c r="B14" s="133" t="s">
        <v>90</v>
      </c>
      <c r="C14" s="43">
        <f>'Section 4 data'!$D$14</f>
        <v>8776.4750000000004</v>
      </c>
      <c r="D14" s="44">
        <f>'Section 4 data'!$E$14</f>
        <v>4790.1580000000004</v>
      </c>
      <c r="E14" s="205">
        <f>'Section 4 data'!$F$14</f>
        <v>18.953469383328226</v>
      </c>
      <c r="F14" s="206">
        <f t="shared" si="0"/>
        <v>13566.633000000002</v>
      </c>
    </row>
    <row r="15" spans="2:6" ht="15" customHeight="1" x14ac:dyDescent="0.2">
      <c r="B15" s="133" t="s">
        <v>91</v>
      </c>
      <c r="C15" s="43">
        <f>'Section 4 data'!$D$15</f>
        <v>3828.4140000000002</v>
      </c>
      <c r="D15" s="44">
        <f>'Section 4 data'!$E$15</f>
        <v>15248.785</v>
      </c>
      <c r="E15" s="205">
        <f>'Section 4 data'!$F$15</f>
        <v>8.4824297165546323</v>
      </c>
      <c r="F15" s="206">
        <f t="shared" si="0"/>
        <v>19077.199000000001</v>
      </c>
    </row>
    <row r="16" spans="2:6" ht="15" customHeight="1" x14ac:dyDescent="0.2">
      <c r="B16" s="132" t="s">
        <v>92</v>
      </c>
      <c r="C16" s="207">
        <f>'Section 4 data'!$D$6</f>
        <v>149700.77499999999</v>
      </c>
      <c r="D16" s="208">
        <f>'Section 4 data'!$E$6</f>
        <v>155504.29199999999</v>
      </c>
      <c r="E16" s="209">
        <f>'Section 4 data'!$F$6</f>
        <v>2.9411401766810834</v>
      </c>
      <c r="F16" s="210">
        <f t="shared" si="0"/>
        <v>305205.06699999998</v>
      </c>
    </row>
    <row r="17" spans="2:6" ht="15" customHeight="1" x14ac:dyDescent="0.2">
      <c r="B17" s="203" t="s">
        <v>93</v>
      </c>
      <c r="C17" s="204"/>
      <c r="D17" s="204"/>
      <c r="E17" s="913"/>
      <c r="F17" s="204"/>
    </row>
    <row r="18" spans="2:6" ht="15" customHeight="1" x14ac:dyDescent="0.2">
      <c r="B18" s="133" t="s">
        <v>94</v>
      </c>
      <c r="C18" s="43">
        <f>'Section 4 data'!$D$16</f>
        <v>16920.057000000001</v>
      </c>
      <c r="D18" s="44">
        <f>'Section 4 data'!$E$16</f>
        <v>91445.638999999996</v>
      </c>
      <c r="E18" s="205">
        <f>'Section 4 data'!$F$16</f>
        <v>3.4430090989665878</v>
      </c>
      <c r="F18" s="206">
        <f t="shared" ref="F18:F29" si="1">SUM(C18,D18)</f>
        <v>108365.696</v>
      </c>
    </row>
    <row r="19" spans="2:6" ht="15" customHeight="1" x14ac:dyDescent="0.2">
      <c r="B19" s="133" t="s">
        <v>95</v>
      </c>
      <c r="C19" s="43">
        <f>'Section 4 data'!$D$17</f>
        <v>9518.2369999999992</v>
      </c>
      <c r="D19" s="44">
        <f>'Section 4 data'!$E$17</f>
        <v>42774.487000000001</v>
      </c>
      <c r="E19" s="205">
        <f>'Section 4 data'!$F$17</f>
        <v>5.3589641404740576</v>
      </c>
      <c r="F19" s="206">
        <f t="shared" si="1"/>
        <v>52292.724000000002</v>
      </c>
    </row>
    <row r="20" spans="2:6" ht="15" customHeight="1" x14ac:dyDescent="0.2">
      <c r="B20" s="133" t="s">
        <v>96</v>
      </c>
      <c r="C20" s="43">
        <f>'Section 4 data'!$D$18</f>
        <v>871.38199999999995</v>
      </c>
      <c r="D20" s="44">
        <f>'Section 4 data'!$E$18</f>
        <v>72688.47</v>
      </c>
      <c r="E20" s="205">
        <f>'Section 4 data'!$F$18</f>
        <v>4.4283840010860152</v>
      </c>
      <c r="F20" s="206">
        <f t="shared" si="1"/>
        <v>73559.851999999999</v>
      </c>
    </row>
    <row r="21" spans="2:6" ht="15" customHeight="1" x14ac:dyDescent="0.2">
      <c r="B21" s="133" t="s">
        <v>97</v>
      </c>
      <c r="C21" s="43">
        <f>'Section 4 data'!$D$19</f>
        <v>3084.7159999999999</v>
      </c>
      <c r="D21" s="44">
        <f>'Section 4 data'!$E$19</f>
        <v>112496.57399999999</v>
      </c>
      <c r="E21" s="205">
        <f>'Section 4 data'!$F$19</f>
        <v>3.5417574645529024</v>
      </c>
      <c r="F21" s="206">
        <f t="shared" si="1"/>
        <v>115581.29</v>
      </c>
    </row>
    <row r="22" spans="2:6" ht="15" customHeight="1" x14ac:dyDescent="0.2">
      <c r="B22" s="133" t="s">
        <v>98</v>
      </c>
      <c r="C22" s="43">
        <f>'Section 4 data'!$D$20</f>
        <v>8255.9120000000003</v>
      </c>
      <c r="D22" s="44">
        <f>'Section 4 data'!$E$20</f>
        <v>118875.967</v>
      </c>
      <c r="E22" s="205">
        <f>'Section 4 data'!$F$20</f>
        <v>4.0482338069904129</v>
      </c>
      <c r="F22" s="206">
        <f t="shared" si="1"/>
        <v>127131.879</v>
      </c>
    </row>
    <row r="23" spans="2:6" ht="15" customHeight="1" x14ac:dyDescent="0.2">
      <c r="B23" s="133" t="s">
        <v>99</v>
      </c>
      <c r="C23" s="43">
        <f>'Section 4 data'!$D$21</f>
        <v>1347.2370000000001</v>
      </c>
      <c r="D23" s="44">
        <f>'Section 4 data'!$E$21</f>
        <v>44683.402999999998</v>
      </c>
      <c r="E23" s="205">
        <f>'Section 4 data'!$F$21</f>
        <v>10.125367505067075</v>
      </c>
      <c r="F23" s="206">
        <f t="shared" si="1"/>
        <v>46030.64</v>
      </c>
    </row>
    <row r="24" spans="2:6" ht="15" customHeight="1" x14ac:dyDescent="0.2">
      <c r="B24" s="133" t="s">
        <v>100</v>
      </c>
      <c r="C24" s="43">
        <f>'Section 4 data'!$D$22</f>
        <v>805.13199999999995</v>
      </c>
      <c r="D24" s="44">
        <f>'Section 4 data'!$E$22</f>
        <v>131601.37400000001</v>
      </c>
      <c r="E24" s="205">
        <f>'Section 4 data'!$F$22</f>
        <v>4.1242187890665365</v>
      </c>
      <c r="F24" s="206">
        <f t="shared" si="1"/>
        <v>132406.50600000002</v>
      </c>
    </row>
    <row r="25" spans="2:6" ht="15" customHeight="1" x14ac:dyDescent="0.2">
      <c r="B25" s="133" t="s">
        <v>101</v>
      </c>
      <c r="C25" s="43">
        <f>'Section 4 data'!$D$23</f>
        <v>4.6420000000000003</v>
      </c>
      <c r="D25" s="44">
        <f>'Section 4 data'!$E$23</f>
        <v>94656.705000000002</v>
      </c>
      <c r="E25" s="205">
        <f>'Section 4 data'!$F$23</f>
        <v>5.8354607652525052</v>
      </c>
      <c r="F25" s="206">
        <f t="shared" si="1"/>
        <v>94661.347000000009</v>
      </c>
    </row>
    <row r="26" spans="2:6" ht="15" customHeight="1" x14ac:dyDescent="0.2">
      <c r="B26" s="133" t="s">
        <v>102</v>
      </c>
      <c r="C26" s="43">
        <f>'Section 4 data'!$D$24</f>
        <v>711.93899999999996</v>
      </c>
      <c r="D26" s="44">
        <f>'Section 4 data'!$E$24</f>
        <v>34164.862999999998</v>
      </c>
      <c r="E26" s="205">
        <f>'Section 4 data'!$F$24</f>
        <v>7.440037227492212</v>
      </c>
      <c r="F26" s="206">
        <f t="shared" si="1"/>
        <v>34876.801999999996</v>
      </c>
    </row>
    <row r="27" spans="2:6" ht="15" customHeight="1" x14ac:dyDescent="0.2">
      <c r="B27" s="133" t="s">
        <v>103</v>
      </c>
      <c r="C27" s="43">
        <f>'Section 4 data'!$D$25</f>
        <v>30.611000000000001</v>
      </c>
      <c r="D27" s="44">
        <f>'Section 4 data'!$E$25</f>
        <v>63824.504999999997</v>
      </c>
      <c r="E27" s="205">
        <f>'Section 4 data'!$F$25</f>
        <v>6.8441795812850428</v>
      </c>
      <c r="F27" s="206">
        <f t="shared" si="1"/>
        <v>63855.115999999995</v>
      </c>
    </row>
    <row r="28" spans="2:6" ht="15" customHeight="1" x14ac:dyDescent="0.2">
      <c r="B28" s="133" t="s">
        <v>104</v>
      </c>
      <c r="C28" s="43">
        <f>'Section 4 data'!$D$26</f>
        <v>16654.641</v>
      </c>
      <c r="D28" s="44">
        <f>'Section 4 data'!$E$26</f>
        <v>176013.75</v>
      </c>
      <c r="E28" s="205">
        <f>'Section 4 data'!$F$26</f>
        <v>3.3857359015930735</v>
      </c>
      <c r="F28" s="206">
        <f t="shared" si="1"/>
        <v>192668.391</v>
      </c>
    </row>
    <row r="29" spans="2:6" ht="15" customHeight="1" x14ac:dyDescent="0.2">
      <c r="B29" s="132" t="s">
        <v>105</v>
      </c>
      <c r="C29" s="207">
        <f>'Section 4 data'!$D$7</f>
        <v>58204.506999999998</v>
      </c>
      <c r="D29" s="208">
        <f>'Section 4 data'!$E$7</f>
        <v>983274.19900000002</v>
      </c>
      <c r="E29" s="209">
        <f>'Section 4 data'!$F$7</f>
        <v>1.365053762885452</v>
      </c>
      <c r="F29" s="210">
        <f t="shared" si="1"/>
        <v>1041478.706</v>
      </c>
    </row>
    <row r="30" spans="2:6" ht="15" customHeight="1" x14ac:dyDescent="0.2">
      <c r="B30" s="203" t="s">
        <v>106</v>
      </c>
      <c r="C30" s="211"/>
      <c r="D30" s="211"/>
      <c r="E30" s="5"/>
      <c r="F30" s="211"/>
    </row>
    <row r="31" spans="2:6" ht="15" customHeight="1" x14ac:dyDescent="0.2">
      <c r="B31" s="132" t="s">
        <v>106</v>
      </c>
      <c r="C31" s="207">
        <f>'Section 4 data'!$D$5</f>
        <v>207905.27900000001</v>
      </c>
      <c r="D31" s="208">
        <f>'Section 4 data'!$E$5</f>
        <v>1139545.4410000001</v>
      </c>
      <c r="E31" s="209">
        <f>'Section 4 data'!$F$5</f>
        <v>1.2114807274468335</v>
      </c>
      <c r="F31" s="210">
        <f>SUM(C31,D31)</f>
        <v>1347450.7200000002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F3DDCF-46AA-4F52-A5AE-94DC3EA6A787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5F929837-6195-4E61-B726-68DD956DEA81}">
            <xm:f>Sheet1!$D$4</xm:f>
            <xm:f>Sheet1!$E$4</xm:f>
            <x14:dxf>
              <numFmt numFmtId="173" formatCode="&quot;&lt; 1&quot;"/>
            </x14:dxf>
          </x14:cfRule>
          <xm:sqref>C8:D16 F8:F16 C18:D29 F18:F29 C31:D31 F31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3:G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170</v>
      </c>
      <c r="C3" t="s">
        <v>982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704" t="s">
        <v>78</v>
      </c>
      <c r="D6" s="1059" t="s">
        <v>79</v>
      </c>
      <c r="E6" s="1059"/>
      <c r="F6" s="705" t="s">
        <v>80</v>
      </c>
      <c r="G6" s="23"/>
    </row>
    <row r="7" spans="2:7" ht="15" customHeight="1" x14ac:dyDescent="0.2">
      <c r="B7" s="1034"/>
      <c r="C7" s="1060" t="s">
        <v>828</v>
      </c>
      <c r="D7" s="1034"/>
      <c r="E7" s="706" t="s">
        <v>82</v>
      </c>
      <c r="F7" s="705" t="s">
        <v>828</v>
      </c>
      <c r="G7" s="23"/>
    </row>
    <row r="8" spans="2:7" ht="15" customHeight="1" x14ac:dyDescent="0.2">
      <c r="B8" s="707" t="str">
        <f>Index!$B$4</f>
        <v>England</v>
      </c>
      <c r="C8" s="847">
        <f>'Section 4 data country'!$G$6</f>
        <v>149700.77499999999</v>
      </c>
      <c r="D8" s="208">
        <f>'Section 4 data country'!$H$6</f>
        <v>155504.29199999999</v>
      </c>
      <c r="E8" s="209">
        <f>'Section 4 data country'!$I$6</f>
        <v>2.9411401766810834</v>
      </c>
      <c r="F8" s="210">
        <f>SUM(C8,D8)</f>
        <v>305205.06699999998</v>
      </c>
      <c r="G8" s="709"/>
    </row>
    <row r="9" spans="2:7" ht="15" customHeight="1" x14ac:dyDescent="0.2">
      <c r="B9" s="710" t="s">
        <v>286</v>
      </c>
      <c r="C9" s="848">
        <f>'Section 4 data country'!$G$7</f>
        <v>21655.496999999999</v>
      </c>
      <c r="D9" s="849">
        <f>'Section 4 data country'!$H$7</f>
        <v>17479.114000000001</v>
      </c>
      <c r="E9" s="214">
        <f>'Section 4 data country'!$I$7</f>
        <v>9.16</v>
      </c>
      <c r="F9" s="852">
        <f t="shared" ref="F9:F22" si="0">SUM(C9,D9)</f>
        <v>39134.611000000004</v>
      </c>
      <c r="G9" s="23"/>
    </row>
    <row r="10" spans="2:7" ht="15" customHeight="1" x14ac:dyDescent="0.2">
      <c r="B10" s="710" t="s">
        <v>298</v>
      </c>
      <c r="C10" s="848">
        <f>'Section 4 data country'!$G$8</f>
        <v>7957.8720000000003</v>
      </c>
      <c r="D10" s="849">
        <f>'Section 4 data country'!$H$8</f>
        <v>15157.57</v>
      </c>
      <c r="E10" s="214">
        <f>'Section 4 data country'!$I$8</f>
        <v>9.6199999999999992</v>
      </c>
      <c r="F10" s="852">
        <f t="shared" si="0"/>
        <v>23115.441999999999</v>
      </c>
      <c r="G10" s="703"/>
    </row>
    <row r="11" spans="2:7" ht="15" customHeight="1" x14ac:dyDescent="0.2">
      <c r="B11" s="710" t="s">
        <v>287</v>
      </c>
      <c r="C11" s="848">
        <f>'Section 4 data country'!$G$9</f>
        <v>18879.43</v>
      </c>
      <c r="D11" s="849">
        <f>'Section 4 data country'!$H$9</f>
        <v>10462.906999999999</v>
      </c>
      <c r="E11" s="214">
        <f>'Section 4 data country'!$I$9</f>
        <v>9.36</v>
      </c>
      <c r="F11" s="852">
        <f t="shared" si="0"/>
        <v>29342.337</v>
      </c>
      <c r="G11" s="703"/>
    </row>
    <row r="12" spans="2:7" ht="15" customHeight="1" x14ac:dyDescent="0.2">
      <c r="B12" s="710" t="s">
        <v>288</v>
      </c>
      <c r="C12" s="848">
        <f>'Section 4 data country'!$G$10</f>
        <v>3794.451</v>
      </c>
      <c r="D12" s="849">
        <f>'Section 4 data country'!$H$10</f>
        <v>5483.6</v>
      </c>
      <c r="E12" s="214">
        <f>'Section 4 data country'!$I$10</f>
        <v>14.87</v>
      </c>
      <c r="F12" s="852">
        <f t="shared" si="0"/>
        <v>9278.0509999999995</v>
      </c>
      <c r="G12" s="703"/>
    </row>
    <row r="13" spans="2:7" ht="15" customHeight="1" x14ac:dyDescent="0.2">
      <c r="B13" s="710" t="s">
        <v>301</v>
      </c>
      <c r="C13" s="848">
        <f>'Section 4 data country'!$G$11</f>
        <v>509.09300000000002</v>
      </c>
      <c r="D13" s="849">
        <f>'Section 4 data country'!$H$11</f>
        <v>1634.7049999999999</v>
      </c>
      <c r="E13" s="214">
        <f>'Section 4 data country'!$I$11</f>
        <v>28.62</v>
      </c>
      <c r="F13" s="852">
        <f t="shared" si="0"/>
        <v>2143.7979999999998</v>
      </c>
      <c r="G13" s="703"/>
    </row>
    <row r="14" spans="2:7" ht="15" customHeight="1" x14ac:dyDescent="0.2">
      <c r="B14" s="710" t="s">
        <v>302</v>
      </c>
      <c r="C14" s="848">
        <f>'Section 4 data country'!$G$12</f>
        <v>152.40199999999999</v>
      </c>
      <c r="D14" s="849">
        <f>'Section 4 data country'!$H$12</f>
        <v>2050.7620000000002</v>
      </c>
      <c r="E14" s="214">
        <f>'Section 4 data country'!$I$12</f>
        <v>20.78</v>
      </c>
      <c r="F14" s="852">
        <f t="shared" si="0"/>
        <v>2203.1640000000002</v>
      </c>
    </row>
    <row r="15" spans="2:7" ht="15" customHeight="1" x14ac:dyDescent="0.2">
      <c r="B15" s="710" t="s">
        <v>303</v>
      </c>
      <c r="C15" s="848">
        <f>'Section 4 data country'!$G$13</f>
        <v>2597.6170000000002</v>
      </c>
      <c r="D15" s="849">
        <f>'Section 4 data country'!$H$13</f>
        <v>6826.3419999999996</v>
      </c>
      <c r="E15" s="214">
        <f>'Section 4 data country'!$I$13</f>
        <v>10.94</v>
      </c>
      <c r="F15" s="852">
        <f t="shared" si="0"/>
        <v>9423.9589999999989</v>
      </c>
    </row>
    <row r="16" spans="2:7" ht="15" customHeight="1" x14ac:dyDescent="0.2">
      <c r="B16" s="710" t="s">
        <v>304</v>
      </c>
      <c r="C16" s="848">
        <f>'Section 4 data country'!$G$14</f>
        <v>2461.973</v>
      </c>
      <c r="D16" s="849">
        <f>'Section 4 data country'!$H$14</f>
        <v>4037.9679999999998</v>
      </c>
      <c r="E16" s="214">
        <f>'Section 4 data country'!$I$14</f>
        <v>18.18</v>
      </c>
      <c r="F16" s="852">
        <f t="shared" si="0"/>
        <v>6499.9409999999998</v>
      </c>
    </row>
    <row r="17" spans="2:6" ht="15" customHeight="1" x14ac:dyDescent="0.2">
      <c r="B17" s="710" t="s">
        <v>291</v>
      </c>
      <c r="C17" s="848">
        <f>'Section 4 data country'!$G$15</f>
        <v>58021.981</v>
      </c>
      <c r="D17" s="849">
        <f>'Section 4 data country'!$H$15</f>
        <v>28155.359</v>
      </c>
      <c r="E17" s="214">
        <f>'Section 4 data country'!$I$15</f>
        <v>9.49</v>
      </c>
      <c r="F17" s="852">
        <f t="shared" si="0"/>
        <v>86177.34</v>
      </c>
    </row>
    <row r="18" spans="2:6" ht="15" customHeight="1" x14ac:dyDescent="0.2">
      <c r="B18" s="710" t="s">
        <v>292</v>
      </c>
      <c r="C18" s="848">
        <f>'Section 4 data country'!$G$16</f>
        <v>6295.808</v>
      </c>
      <c r="D18" s="849">
        <f>'Section 4 data country'!$H$16</f>
        <v>11965.755999999999</v>
      </c>
      <c r="E18" s="214">
        <f>'Section 4 data country'!$I$16</f>
        <v>9.36</v>
      </c>
      <c r="F18" s="852">
        <f t="shared" si="0"/>
        <v>18261.563999999998</v>
      </c>
    </row>
    <row r="19" spans="2:6" ht="15" customHeight="1" x14ac:dyDescent="0.2">
      <c r="B19" s="710" t="s">
        <v>293</v>
      </c>
      <c r="C19" s="848">
        <f>'Section 4 data country'!$G$17</f>
        <v>825.09900000000005</v>
      </c>
      <c r="D19" s="849">
        <f>'Section 4 data country'!$H$17</f>
        <v>10385.531999999999</v>
      </c>
      <c r="E19" s="214">
        <f>'Section 4 data country'!$I$17</f>
        <v>10.029999999999999</v>
      </c>
      <c r="F19" s="852">
        <f t="shared" si="0"/>
        <v>11210.630999999999</v>
      </c>
    </row>
    <row r="20" spans="2:6" ht="15" customHeight="1" x14ac:dyDescent="0.2">
      <c r="B20" s="710" t="s">
        <v>294</v>
      </c>
      <c r="C20" s="848">
        <f>'Section 4 data country'!$G$18</f>
        <v>4918.6819999999998</v>
      </c>
      <c r="D20" s="849">
        <f>'Section 4 data country'!$H$18</f>
        <v>10318.472</v>
      </c>
      <c r="E20" s="214">
        <f>'Section 4 data country'!$I$18</f>
        <v>8.02</v>
      </c>
      <c r="F20" s="852">
        <f t="shared" si="0"/>
        <v>15237.153999999999</v>
      </c>
    </row>
    <row r="21" spans="2:6" ht="15" customHeight="1" x14ac:dyDescent="0.2">
      <c r="B21" s="710" t="s">
        <v>295</v>
      </c>
      <c r="C21" s="848">
        <f>'Section 4 data country'!$G$19</f>
        <v>8521.9660000000003</v>
      </c>
      <c r="D21" s="849">
        <f>'Section 4 data country'!$H$19</f>
        <v>13060.883</v>
      </c>
      <c r="E21" s="214">
        <f>'Section 4 data country'!$I$19</f>
        <v>9.09</v>
      </c>
      <c r="F21" s="852">
        <f t="shared" si="0"/>
        <v>21582.849000000002</v>
      </c>
    </row>
    <row r="22" spans="2:6" ht="15" customHeight="1" x14ac:dyDescent="0.2">
      <c r="B22" s="714" t="s">
        <v>296</v>
      </c>
      <c r="C22" s="850">
        <f>'Section 4 data country'!$G$20</f>
        <v>13108.904</v>
      </c>
      <c r="D22" s="851">
        <f>'Section 4 data country'!$H$20</f>
        <v>18485.322</v>
      </c>
      <c r="E22" s="717">
        <f>'Section 4 data country'!$I$20</f>
        <v>6.7</v>
      </c>
      <c r="F22" s="853">
        <f t="shared" si="0"/>
        <v>31594.226000000002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34F3B9BF-8416-47D9-B28F-30E0E3C6BEFD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3" id="{ABE38157-FACA-4413-A6ED-F195134A90AA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173</v>
      </c>
      <c r="C3" t="s">
        <v>983</v>
      </c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828</v>
      </c>
      <c r="D7" s="1034"/>
      <c r="E7" s="706" t="s">
        <v>82</v>
      </c>
      <c r="F7" s="953" t="s">
        <v>828</v>
      </c>
    </row>
    <row r="8" spans="2:6" ht="15" customHeight="1" x14ac:dyDescent="0.2">
      <c r="B8" s="707" t="str">
        <f>Index!$B$4</f>
        <v>England</v>
      </c>
      <c r="C8" s="847">
        <f>'Section 4 data country'!$K$6</f>
        <v>58204.506999999998</v>
      </c>
      <c r="D8" s="208">
        <f>'Section 4 data country'!$L$6</f>
        <v>983274.19900000002</v>
      </c>
      <c r="E8" s="854">
        <f>'Section 4 data country'!$M$6</f>
        <v>1.365053762885452</v>
      </c>
      <c r="F8" s="210">
        <f>SUM(C8,D8)</f>
        <v>1041478.706</v>
      </c>
    </row>
    <row r="9" spans="2:6" ht="15" customHeight="1" x14ac:dyDescent="0.2">
      <c r="B9" s="710" t="s">
        <v>286</v>
      </c>
      <c r="C9" s="848">
        <f>'Section 4 data country'!$K$7</f>
        <v>4478.9949999999999</v>
      </c>
      <c r="D9" s="849">
        <f>'Section 4 data country'!$L$7</f>
        <v>45012.286999999997</v>
      </c>
      <c r="E9" s="855">
        <f>'Section 4 data country'!$M$7</f>
        <v>5.59</v>
      </c>
      <c r="F9" s="852">
        <f t="shared" ref="F9:F22" si="0">SUM(C9,D9)</f>
        <v>49491.281999999999</v>
      </c>
    </row>
    <row r="10" spans="2:6" ht="15" customHeight="1" x14ac:dyDescent="0.2">
      <c r="B10" s="710" t="s">
        <v>298</v>
      </c>
      <c r="C10" s="848">
        <f>'Section 4 data country'!$K$8</f>
        <v>2587.0569999999998</v>
      </c>
      <c r="D10" s="849">
        <f>'Section 4 data country'!$L$8</f>
        <v>98449.111000000004</v>
      </c>
      <c r="E10" s="855">
        <f>'Section 4 data country'!$M$8</f>
        <v>4.21</v>
      </c>
      <c r="F10" s="852">
        <f t="shared" si="0"/>
        <v>101036.16800000001</v>
      </c>
    </row>
    <row r="11" spans="2:6" ht="15" customHeight="1" x14ac:dyDescent="0.2">
      <c r="B11" s="710" t="s">
        <v>287</v>
      </c>
      <c r="C11" s="848">
        <f>'Section 4 data country'!$K$9</f>
        <v>4193.1610000000001</v>
      </c>
      <c r="D11" s="849">
        <f>'Section 4 data country'!$L$9</f>
        <v>95460.7</v>
      </c>
      <c r="E11" s="855">
        <f>'Section 4 data country'!$M$9</f>
        <v>4.79</v>
      </c>
      <c r="F11" s="852">
        <f t="shared" si="0"/>
        <v>99653.861000000004</v>
      </c>
    </row>
    <row r="12" spans="2:6" ht="15" customHeight="1" x14ac:dyDescent="0.2">
      <c r="B12" s="710" t="s">
        <v>288</v>
      </c>
      <c r="C12" s="848">
        <f>'Section 4 data country'!$K$10</f>
        <v>1377.17</v>
      </c>
      <c r="D12" s="849">
        <f>'Section 4 data country'!$L$10</f>
        <v>40045.226000000002</v>
      </c>
      <c r="E12" s="855">
        <f>'Section 4 data country'!$M$10</f>
        <v>7.34</v>
      </c>
      <c r="F12" s="852">
        <f t="shared" si="0"/>
        <v>41422.396000000001</v>
      </c>
    </row>
    <row r="13" spans="2:6" ht="15" customHeight="1" x14ac:dyDescent="0.2">
      <c r="B13" s="710" t="s">
        <v>301</v>
      </c>
      <c r="C13" s="848">
        <f>'Section 4 data country'!$K$11</f>
        <v>712.92</v>
      </c>
      <c r="D13" s="849">
        <f>'Section 4 data country'!$L$11</f>
        <v>20975.358</v>
      </c>
      <c r="E13" s="855">
        <f>'Section 4 data country'!$M$11</f>
        <v>11.96</v>
      </c>
      <c r="F13" s="852">
        <f t="shared" si="0"/>
        <v>21688.277999999998</v>
      </c>
    </row>
    <row r="14" spans="2:6" ht="15" customHeight="1" x14ac:dyDescent="0.2">
      <c r="B14" s="710" t="s">
        <v>302</v>
      </c>
      <c r="C14" s="848">
        <f>'Section 4 data country'!$K$12</f>
        <v>462.83800000000002</v>
      </c>
      <c r="D14" s="849">
        <f>'Section 4 data country'!$L$12</f>
        <v>27508.71</v>
      </c>
      <c r="E14" s="855">
        <f>'Section 4 data country'!$M$12</f>
        <v>7.28</v>
      </c>
      <c r="F14" s="852">
        <f t="shared" si="0"/>
        <v>27971.547999999999</v>
      </c>
    </row>
    <row r="15" spans="2:6" ht="15" customHeight="1" x14ac:dyDescent="0.2">
      <c r="B15" s="710" t="s">
        <v>303</v>
      </c>
      <c r="C15" s="848">
        <f>'Section 4 data country'!$K$13</f>
        <v>3903.6309999999999</v>
      </c>
      <c r="D15" s="849">
        <f>'Section 4 data country'!$L$13</f>
        <v>121344.743</v>
      </c>
      <c r="E15" s="855">
        <f>'Section 4 data country'!$M$13</f>
        <v>4.88</v>
      </c>
      <c r="F15" s="852">
        <f t="shared" si="0"/>
        <v>125248.374</v>
      </c>
    </row>
    <row r="16" spans="2:6" ht="15" customHeight="1" x14ac:dyDescent="0.2">
      <c r="B16" s="710" t="s">
        <v>304</v>
      </c>
      <c r="C16" s="848">
        <f>'Section 4 data country'!$K$14</f>
        <v>7589.9960000000001</v>
      </c>
      <c r="D16" s="849">
        <f>'Section 4 data country'!$L$14</f>
        <v>38591.752999999997</v>
      </c>
      <c r="E16" s="855">
        <f>'Section 4 data country'!$M$14</f>
        <v>6.45</v>
      </c>
      <c r="F16" s="852">
        <f t="shared" si="0"/>
        <v>46181.748999999996</v>
      </c>
    </row>
    <row r="17" spans="2:6" ht="15" customHeight="1" x14ac:dyDescent="0.2">
      <c r="B17" s="710" t="s">
        <v>291</v>
      </c>
      <c r="C17" s="848">
        <f>'Section 4 data country'!$K$15</f>
        <v>2677.2739999999999</v>
      </c>
      <c r="D17" s="849">
        <f>'Section 4 data country'!$L$15</f>
        <v>47697.063000000002</v>
      </c>
      <c r="E17" s="855">
        <f>'Section 4 data country'!$M$15</f>
        <v>7.43</v>
      </c>
      <c r="F17" s="852">
        <f t="shared" si="0"/>
        <v>50374.337</v>
      </c>
    </row>
    <row r="18" spans="2:6" ht="15" customHeight="1" x14ac:dyDescent="0.2">
      <c r="B18" s="710" t="s">
        <v>292</v>
      </c>
      <c r="C18" s="848">
        <f>'Section 4 data country'!$K$16</f>
        <v>12595.567999999999</v>
      </c>
      <c r="D18" s="849">
        <f>'Section 4 data country'!$L$16</f>
        <v>96279.448000000004</v>
      </c>
      <c r="E18" s="855">
        <f>'Section 4 data country'!$M$16</f>
        <v>3.61</v>
      </c>
      <c r="F18" s="852">
        <f t="shared" si="0"/>
        <v>108875.016</v>
      </c>
    </row>
    <row r="19" spans="2:6" ht="15" customHeight="1" x14ac:dyDescent="0.2">
      <c r="B19" s="710" t="s">
        <v>293</v>
      </c>
      <c r="C19" s="848">
        <f>'Section 4 data country'!$K$17</f>
        <v>1660.3109999999999</v>
      </c>
      <c r="D19" s="849">
        <f>'Section 4 data country'!$L$17</f>
        <v>81289.407999999996</v>
      </c>
      <c r="E19" s="855">
        <f>'Section 4 data country'!$M$17</f>
        <v>3.99</v>
      </c>
      <c r="F19" s="852">
        <f t="shared" si="0"/>
        <v>82949.718999999997</v>
      </c>
    </row>
    <row r="20" spans="2:6" ht="15" customHeight="1" x14ac:dyDescent="0.2">
      <c r="B20" s="710" t="s">
        <v>294</v>
      </c>
      <c r="C20" s="848">
        <f>'Section 4 data country'!$K$18</f>
        <v>3998.9029999999998</v>
      </c>
      <c r="D20" s="849">
        <f>'Section 4 data country'!$L$18</f>
        <v>86019.127999999997</v>
      </c>
      <c r="E20" s="855">
        <f>'Section 4 data country'!$M$18</f>
        <v>4.0599999999999996</v>
      </c>
      <c r="F20" s="852">
        <f t="shared" si="0"/>
        <v>90018.031000000003</v>
      </c>
    </row>
    <row r="21" spans="2:6" ht="15" customHeight="1" x14ac:dyDescent="0.2">
      <c r="B21" s="710" t="s">
        <v>295</v>
      </c>
      <c r="C21" s="848">
        <f>'Section 4 data country'!$K$19</f>
        <v>9078.16</v>
      </c>
      <c r="D21" s="849">
        <f>'Section 4 data country'!$L$19</f>
        <v>109116.84299999999</v>
      </c>
      <c r="E21" s="855">
        <f>'Section 4 data country'!$M$19</f>
        <v>4.0199999999999996</v>
      </c>
      <c r="F21" s="852">
        <f t="shared" si="0"/>
        <v>118195.003</v>
      </c>
    </row>
    <row r="22" spans="2:6" ht="15" customHeight="1" x14ac:dyDescent="0.2">
      <c r="B22" s="714" t="s">
        <v>296</v>
      </c>
      <c r="C22" s="850">
        <f>'Section 4 data country'!$K$20</f>
        <v>2888.5230000000001</v>
      </c>
      <c r="D22" s="851">
        <f>'Section 4 data country'!$L$20</f>
        <v>75484.421000000002</v>
      </c>
      <c r="E22" s="856">
        <f>'Section 4 data country'!$M$20</f>
        <v>3.96</v>
      </c>
      <c r="F22" s="853">
        <f t="shared" si="0"/>
        <v>78372.944000000003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4B4ACD90-E654-44C2-A2FB-5B261B138894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2" id="{85858035-BE9D-48D6-845F-7044DC6BCC45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176</v>
      </c>
      <c r="C3" t="s">
        <v>984</v>
      </c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828</v>
      </c>
      <c r="D7" s="1034"/>
      <c r="E7" s="706" t="s">
        <v>82</v>
      </c>
      <c r="F7" s="953" t="s">
        <v>828</v>
      </c>
    </row>
    <row r="8" spans="2:6" ht="15" customHeight="1" x14ac:dyDescent="0.2">
      <c r="B8" s="707" t="str">
        <f>Index!$B$4</f>
        <v>England</v>
      </c>
      <c r="C8" s="847">
        <f>'Section 4 data country'!$C$6</f>
        <v>207905.27900000001</v>
      </c>
      <c r="D8" s="208">
        <f>'Section 4 data country'!$D$6</f>
        <v>1139545.4410000001</v>
      </c>
      <c r="E8" s="854">
        <f>'Section 4 data country'!$E$6</f>
        <v>1.2114807274468335</v>
      </c>
      <c r="F8" s="210">
        <f>SUM(C8,D8)</f>
        <v>1347450.7200000002</v>
      </c>
    </row>
    <row r="9" spans="2:6" ht="15" customHeight="1" x14ac:dyDescent="0.2">
      <c r="B9" s="710" t="s">
        <v>286</v>
      </c>
      <c r="C9" s="848">
        <f>'Section 4 data country'!$C$7</f>
        <v>26134.491999999998</v>
      </c>
      <c r="D9" s="849">
        <f>'Section 4 data country'!$D$7</f>
        <v>62577.341999999997</v>
      </c>
      <c r="E9" s="855">
        <f>'Section 4 data country'!$E$7</f>
        <v>4.51</v>
      </c>
      <c r="F9" s="852">
        <f t="shared" ref="F9:F22" si="0">SUM(C9,D9)</f>
        <v>88711.834000000003</v>
      </c>
    </row>
    <row r="10" spans="2:6" ht="15" customHeight="1" x14ac:dyDescent="0.2">
      <c r="B10" s="710" t="s">
        <v>298</v>
      </c>
      <c r="C10" s="848">
        <f>'Section 4 data country'!$C$8</f>
        <v>10544.929</v>
      </c>
      <c r="D10" s="849">
        <f>'Section 4 data country'!$D$8</f>
        <v>113611.928</v>
      </c>
      <c r="E10" s="855">
        <f>'Section 4 data country'!$E$8</f>
        <v>3.79</v>
      </c>
      <c r="F10" s="852">
        <f t="shared" si="0"/>
        <v>124156.857</v>
      </c>
    </row>
    <row r="11" spans="2:6" ht="15" customHeight="1" x14ac:dyDescent="0.2">
      <c r="B11" s="710" t="s">
        <v>287</v>
      </c>
      <c r="C11" s="848">
        <f>'Section 4 data country'!$C$9</f>
        <v>23072.591</v>
      </c>
      <c r="D11" s="849">
        <f>'Section 4 data country'!$D$9</f>
        <v>105963.91800000001</v>
      </c>
      <c r="E11" s="855">
        <f>'Section 4 data country'!$E$9</f>
        <v>4.3099999999999996</v>
      </c>
      <c r="F11" s="852">
        <f t="shared" si="0"/>
        <v>129036.50900000001</v>
      </c>
    </row>
    <row r="12" spans="2:6" ht="15" customHeight="1" x14ac:dyDescent="0.2">
      <c r="B12" s="710" t="s">
        <v>288</v>
      </c>
      <c r="C12" s="848">
        <f>'Section 4 data country'!$C$10</f>
        <v>5171.6210000000001</v>
      </c>
      <c r="D12" s="849">
        <f>'Section 4 data country'!$D$10</f>
        <v>45528.826000000001</v>
      </c>
      <c r="E12" s="855">
        <f>'Section 4 data country'!$E$10</f>
        <v>6.43</v>
      </c>
      <c r="F12" s="852">
        <f t="shared" si="0"/>
        <v>50700.447</v>
      </c>
    </row>
    <row r="13" spans="2:6" ht="15" customHeight="1" x14ac:dyDescent="0.2">
      <c r="B13" s="710" t="s">
        <v>301</v>
      </c>
      <c r="C13" s="848">
        <f>'Section 4 data country'!$C$11</f>
        <v>1222.0129999999999</v>
      </c>
      <c r="D13" s="849">
        <f>'Section 4 data country'!$D$11</f>
        <v>22610.062999999998</v>
      </c>
      <c r="E13" s="855">
        <f>'Section 4 data country'!$E$11</f>
        <v>10.77</v>
      </c>
      <c r="F13" s="852">
        <f t="shared" si="0"/>
        <v>23832.075999999997</v>
      </c>
    </row>
    <row r="14" spans="2:6" ht="15" customHeight="1" x14ac:dyDescent="0.2">
      <c r="B14" s="710" t="s">
        <v>302</v>
      </c>
      <c r="C14" s="848">
        <f>'Section 4 data country'!$C$12</f>
        <v>615.24</v>
      </c>
      <c r="D14" s="849">
        <f>'Section 4 data country'!$D$12</f>
        <v>29559.473000000002</v>
      </c>
      <c r="E14" s="855">
        <f>'Section 4 data country'!$E$12</f>
        <v>6.72</v>
      </c>
      <c r="F14" s="852">
        <f t="shared" si="0"/>
        <v>30174.713000000003</v>
      </c>
    </row>
    <row r="15" spans="2:6" ht="15" customHeight="1" x14ac:dyDescent="0.2">
      <c r="B15" s="710" t="s">
        <v>303</v>
      </c>
      <c r="C15" s="848">
        <f>'Section 4 data country'!$C$13</f>
        <v>6501.2479999999996</v>
      </c>
      <c r="D15" s="849">
        <f>'Section 4 data country'!$D$13</f>
        <v>128190.28200000001</v>
      </c>
      <c r="E15" s="855">
        <f>'Section 4 data country'!$E$13</f>
        <v>4.63</v>
      </c>
      <c r="F15" s="852">
        <f t="shared" si="0"/>
        <v>134691.53</v>
      </c>
    </row>
    <row r="16" spans="2:6" ht="15" customHeight="1" x14ac:dyDescent="0.2">
      <c r="B16" s="710" t="s">
        <v>304</v>
      </c>
      <c r="C16" s="848">
        <f>'Section 4 data country'!$C$14</f>
        <v>10051.968999999999</v>
      </c>
      <c r="D16" s="849">
        <f>'Section 4 data country'!$D$14</f>
        <v>42679.970999999998</v>
      </c>
      <c r="E16" s="855">
        <f>'Section 4 data country'!$E$14</f>
        <v>5.85</v>
      </c>
      <c r="F16" s="852">
        <f t="shared" si="0"/>
        <v>52731.939999999995</v>
      </c>
    </row>
    <row r="17" spans="2:6" ht="15" customHeight="1" x14ac:dyDescent="0.2">
      <c r="B17" s="710" t="s">
        <v>291</v>
      </c>
      <c r="C17" s="848">
        <f>'Section 4 data country'!$C$15</f>
        <v>60699.254999999997</v>
      </c>
      <c r="D17" s="849">
        <f>'Section 4 data country'!$D$15</f>
        <v>75969.606</v>
      </c>
      <c r="E17" s="855">
        <f>'Section 4 data country'!$E$15</f>
        <v>5.68</v>
      </c>
      <c r="F17" s="852">
        <f t="shared" si="0"/>
        <v>136668.861</v>
      </c>
    </row>
    <row r="18" spans="2:6" ht="15" customHeight="1" x14ac:dyDescent="0.2">
      <c r="B18" s="710" t="s">
        <v>292</v>
      </c>
      <c r="C18" s="848">
        <f>'Section 4 data country'!$C$16</f>
        <v>18891.375</v>
      </c>
      <c r="D18" s="849">
        <f>'Section 4 data country'!$D$16</f>
        <v>108672.41800000001</v>
      </c>
      <c r="E18" s="855">
        <f>'Section 4 data country'!$E$16</f>
        <v>3.26</v>
      </c>
      <c r="F18" s="852">
        <f t="shared" si="0"/>
        <v>127563.79300000001</v>
      </c>
    </row>
    <row r="19" spans="2:6" ht="15" customHeight="1" x14ac:dyDescent="0.2">
      <c r="B19" s="710" t="s">
        <v>293</v>
      </c>
      <c r="C19" s="848">
        <f>'Section 4 data country'!$C$17</f>
        <v>2485.41</v>
      </c>
      <c r="D19" s="849">
        <f>'Section 4 data country'!$D$17</f>
        <v>91781.61</v>
      </c>
      <c r="E19" s="855">
        <f>'Section 4 data country'!$E$17</f>
        <v>3.58</v>
      </c>
      <c r="F19" s="852">
        <f t="shared" si="0"/>
        <v>94267.02</v>
      </c>
    </row>
    <row r="20" spans="2:6" ht="15" customHeight="1" x14ac:dyDescent="0.2">
      <c r="B20" s="710" t="s">
        <v>294</v>
      </c>
      <c r="C20" s="848">
        <f>'Section 4 data country'!$C$18</f>
        <v>8917.5840000000007</v>
      </c>
      <c r="D20" s="849">
        <f>'Section 4 data country'!$D$18</f>
        <v>96314.125</v>
      </c>
      <c r="E20" s="855">
        <f>'Section 4 data country'!$E$18</f>
        <v>3.66</v>
      </c>
      <c r="F20" s="852">
        <f t="shared" si="0"/>
        <v>105231.709</v>
      </c>
    </row>
    <row r="21" spans="2:6" ht="15" customHeight="1" x14ac:dyDescent="0.2">
      <c r="B21" s="710" t="s">
        <v>295</v>
      </c>
      <c r="C21" s="848">
        <f>'Section 4 data country'!$C$19</f>
        <v>17600.126</v>
      </c>
      <c r="D21" s="849">
        <f>'Section 4 data country'!$D$19</f>
        <v>122038.25900000001</v>
      </c>
      <c r="E21" s="855">
        <f>'Section 4 data country'!$E$19</f>
        <v>3.61</v>
      </c>
      <c r="F21" s="852">
        <f t="shared" si="0"/>
        <v>139638.38500000001</v>
      </c>
    </row>
    <row r="22" spans="2:6" ht="15" customHeight="1" x14ac:dyDescent="0.2">
      <c r="B22" s="714" t="s">
        <v>296</v>
      </c>
      <c r="C22" s="850">
        <f>'Section 4 data country'!$C$20</f>
        <v>15997.425999999999</v>
      </c>
      <c r="D22" s="851">
        <f>'Section 4 data country'!$D$20</f>
        <v>94047.62</v>
      </c>
      <c r="E22" s="856">
        <f>'Section 4 data country'!$E$20</f>
        <v>3.28</v>
      </c>
      <c r="F22" s="853">
        <f t="shared" si="0"/>
        <v>110045.046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D90DBA9B-7ECF-47D2-8F6E-13F4A18FA415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  <x14:conditionalFormatting xmlns:xm="http://schemas.microsoft.com/office/excel/2006/main">
          <x14:cfRule type="expression" priority="1" id="{EC31A8F5-3F47-4BE6-A194-F054F48E2989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6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179</v>
      </c>
      <c r="C3" t="s">
        <v>985</v>
      </c>
    </row>
    <row r="5" spans="2:6" ht="15" customHeight="1" x14ac:dyDescent="0.2">
      <c r="B5" s="1055" t="s">
        <v>267</v>
      </c>
      <c r="C5" s="40" t="s">
        <v>78</v>
      </c>
      <c r="D5" s="1057" t="s">
        <v>79</v>
      </c>
      <c r="E5" s="1057"/>
      <c r="F5" s="232" t="s">
        <v>80</v>
      </c>
    </row>
    <row r="6" spans="2:6" ht="30" customHeight="1" x14ac:dyDescent="0.2">
      <c r="B6" s="1076"/>
      <c r="C6" s="36" t="s">
        <v>271</v>
      </c>
      <c r="D6" s="36" t="s">
        <v>271</v>
      </c>
      <c r="E6" s="3" t="s">
        <v>82</v>
      </c>
      <c r="F6" s="212" t="s">
        <v>271</v>
      </c>
    </row>
    <row r="7" spans="2:6" ht="15" customHeight="1" x14ac:dyDescent="0.2">
      <c r="B7" s="243" t="s">
        <v>92</v>
      </c>
      <c r="C7" s="244"/>
      <c r="D7" s="244"/>
      <c r="E7" s="244"/>
      <c r="F7" s="244"/>
    </row>
    <row r="8" spans="2:6" ht="15" customHeight="1" x14ac:dyDescent="0.2">
      <c r="B8" s="233" t="s">
        <v>360</v>
      </c>
      <c r="C8" s="43">
        <f>'Section 4 data'!$D$31</f>
        <v>1570.7909999999999</v>
      </c>
      <c r="D8" s="44">
        <f>'Section 4 data'!$E$31</f>
        <v>464.90600000000001</v>
      </c>
      <c r="E8" s="205">
        <f>'Section 4 data'!$F$31</f>
        <v>49.555142484036594</v>
      </c>
      <c r="F8" s="206">
        <f>SUM(C8,D8)</f>
        <v>2035.6969999999999</v>
      </c>
    </row>
    <row r="9" spans="2:6" ht="15" customHeight="1" x14ac:dyDescent="0.2">
      <c r="B9" s="235" t="s">
        <v>361</v>
      </c>
      <c r="C9" s="43">
        <f>'Section 4 data'!$D$32</f>
        <v>32819.542000000001</v>
      </c>
      <c r="D9" s="249">
        <f>'Section 4 data'!$E$32</f>
        <v>18963.661</v>
      </c>
      <c r="E9" s="205">
        <f>'Section 4 data'!$F$32</f>
        <v>12.75821986842913</v>
      </c>
      <c r="F9" s="206">
        <f t="shared" ref="F9:F15" si="0">SUM(C9,D9)</f>
        <v>51783.203000000001</v>
      </c>
    </row>
    <row r="10" spans="2:6" ht="15" customHeight="1" x14ac:dyDescent="0.2">
      <c r="B10" s="233" t="s">
        <v>362</v>
      </c>
      <c r="C10" s="43">
        <f>'Section 4 data'!$D$33</f>
        <v>66164.327000000005</v>
      </c>
      <c r="D10" s="44">
        <f>'Section 4 data'!$E$33</f>
        <v>72524.138000000006</v>
      </c>
      <c r="E10" s="205">
        <f>'Section 4 data'!$F$33</f>
        <v>5.7523005222963333</v>
      </c>
      <c r="F10" s="206">
        <f t="shared" si="0"/>
        <v>138688.46500000003</v>
      </c>
    </row>
    <row r="11" spans="2:6" ht="15" customHeight="1" x14ac:dyDescent="0.2">
      <c r="B11" s="233" t="s">
        <v>363</v>
      </c>
      <c r="C11" s="43">
        <f>'Section 4 data'!$D$34</f>
        <v>39573.519</v>
      </c>
      <c r="D11" s="44">
        <f>'Section 4 data'!$E$34</f>
        <v>53189.896999999997</v>
      </c>
      <c r="E11" s="250">
        <f>'Section 4 data'!$F$34</f>
        <v>4.3251854462703019</v>
      </c>
      <c r="F11" s="206">
        <f t="shared" si="0"/>
        <v>92763.415999999997</v>
      </c>
    </row>
    <row r="12" spans="2:6" ht="15" customHeight="1" x14ac:dyDescent="0.2">
      <c r="B12" s="233" t="s">
        <v>364</v>
      </c>
      <c r="C12" s="43">
        <f>'Section 4 data'!$D$35</f>
        <v>7275.45</v>
      </c>
      <c r="D12" s="44">
        <f>'Section 4 data'!$E$35</f>
        <v>8419.8790000000008</v>
      </c>
      <c r="E12" s="250">
        <f>'Section 4 data'!$F$35</f>
        <v>9.5913849863771805</v>
      </c>
      <c r="F12" s="206">
        <f t="shared" si="0"/>
        <v>15695.329000000002</v>
      </c>
    </row>
    <row r="13" spans="2:6" ht="15" customHeight="1" x14ac:dyDescent="0.2">
      <c r="B13" s="233" t="s">
        <v>365</v>
      </c>
      <c r="C13" s="43">
        <f>'Section 4 data'!$D$36</f>
        <v>1522.104</v>
      </c>
      <c r="D13" s="44">
        <f>'Section 4 data'!$E$36</f>
        <v>1184.269</v>
      </c>
      <c r="E13" s="205">
        <f>'Section 4 data'!$F$36</f>
        <v>24.997896315120531</v>
      </c>
      <c r="F13" s="206">
        <f t="shared" si="0"/>
        <v>2706.373</v>
      </c>
    </row>
    <row r="14" spans="2:6" ht="15" customHeight="1" x14ac:dyDescent="0.2">
      <c r="B14" s="233" t="s">
        <v>366</v>
      </c>
      <c r="C14" s="43">
        <f>'Section 4 data'!$D$37</f>
        <v>394.30900000000003</v>
      </c>
      <c r="D14" s="44">
        <f>'Section 4 data'!$E$37</f>
        <v>757.54</v>
      </c>
      <c r="E14" s="205">
        <f>'Section 4 data'!$F$37</f>
        <v>20.748862954640153</v>
      </c>
      <c r="F14" s="206">
        <f t="shared" si="0"/>
        <v>1151.8489999999999</v>
      </c>
    </row>
    <row r="15" spans="2:6" ht="15" customHeight="1" x14ac:dyDescent="0.2">
      <c r="B15" s="236" t="s">
        <v>80</v>
      </c>
      <c r="C15" s="66">
        <f>'Section 4 data'!$D$6</f>
        <v>149700.77499999999</v>
      </c>
      <c r="D15" s="66">
        <f>'Section 4 data'!$E$6</f>
        <v>155504.29199999999</v>
      </c>
      <c r="E15" s="209">
        <f>'Section 4 data'!$F$6</f>
        <v>2.9411401766810834</v>
      </c>
      <c r="F15" s="238">
        <f t="shared" si="0"/>
        <v>305205.06699999998</v>
      </c>
    </row>
    <row r="16" spans="2:6" ht="15" customHeight="1" x14ac:dyDescent="0.2">
      <c r="B16" s="243" t="s">
        <v>105</v>
      </c>
      <c r="C16" s="244"/>
      <c r="D16" s="244"/>
      <c r="E16" s="244"/>
      <c r="F16" s="244"/>
    </row>
    <row r="17" spans="2:6" ht="15" customHeight="1" x14ac:dyDescent="0.2">
      <c r="B17" s="233" t="s">
        <v>360</v>
      </c>
      <c r="C17" s="43">
        <f>'Section 4 data'!$D$39</f>
        <v>164.5</v>
      </c>
      <c r="D17" s="44">
        <f>'Section 4 data'!$E$39</f>
        <v>15852.424999999999</v>
      </c>
      <c r="E17" s="205">
        <f>'Section 4 data'!$F$39</f>
        <v>9.2813053183070569</v>
      </c>
      <c r="F17" s="206">
        <f t="shared" ref="F17:F24" si="1">SUM(C17,D17)</f>
        <v>16016.924999999999</v>
      </c>
    </row>
    <row r="18" spans="2:6" ht="15" customHeight="1" x14ac:dyDescent="0.2">
      <c r="B18" s="235" t="s">
        <v>361</v>
      </c>
      <c r="C18" s="43">
        <f>'Section 4 data'!$D$40</f>
        <v>7362.616</v>
      </c>
      <c r="D18" s="249">
        <f>'Section 4 data'!$E$40</f>
        <v>254704.72899999999</v>
      </c>
      <c r="E18" s="205">
        <f>'Section 4 data'!$F$40</f>
        <v>3.2718568514622395</v>
      </c>
      <c r="F18" s="206">
        <f t="shared" si="1"/>
        <v>262067.345</v>
      </c>
    </row>
    <row r="19" spans="2:6" ht="15" customHeight="1" x14ac:dyDescent="0.2">
      <c r="B19" s="233" t="s">
        <v>362</v>
      </c>
      <c r="C19" s="43">
        <f>'Section 4 data'!$D$41</f>
        <v>15450.704</v>
      </c>
      <c r="D19" s="44">
        <f>'Section 4 data'!$E$41</f>
        <v>430062.75</v>
      </c>
      <c r="E19" s="205">
        <f>'Section 4 data'!$F$41</f>
        <v>2.5178457019710927</v>
      </c>
      <c r="F19" s="206">
        <f t="shared" si="1"/>
        <v>445513.45400000003</v>
      </c>
    </row>
    <row r="20" spans="2:6" ht="15" customHeight="1" x14ac:dyDescent="0.2">
      <c r="B20" s="233" t="s">
        <v>363</v>
      </c>
      <c r="C20" s="43">
        <f>'Section 4 data'!$D$42</f>
        <v>13815.743999999999</v>
      </c>
      <c r="D20" s="44">
        <f>'Section 4 data'!$E$42</f>
        <v>136646.72399999999</v>
      </c>
      <c r="E20" s="250">
        <f>'Section 4 data'!$F$42</f>
        <v>3.6567731015278633</v>
      </c>
      <c r="F20" s="206">
        <f t="shared" si="1"/>
        <v>150462.46799999999</v>
      </c>
    </row>
    <row r="21" spans="2:6" ht="15" customHeight="1" x14ac:dyDescent="0.2">
      <c r="B21" s="233" t="s">
        <v>364</v>
      </c>
      <c r="C21" s="43">
        <f>'Section 4 data'!$D$43</f>
        <v>9377.83</v>
      </c>
      <c r="D21" s="44">
        <f>'Section 4 data'!$E$43</f>
        <v>79390.209000000003</v>
      </c>
      <c r="E21" s="250">
        <f>'Section 4 data'!$F$43</f>
        <v>5.0270050490063731</v>
      </c>
      <c r="F21" s="206">
        <f t="shared" si="1"/>
        <v>88768.039000000004</v>
      </c>
    </row>
    <row r="22" spans="2:6" ht="15" customHeight="1" x14ac:dyDescent="0.2">
      <c r="B22" s="233" t="s">
        <v>365</v>
      </c>
      <c r="C22" s="43">
        <f>'Section 4 data'!$D$44</f>
        <v>2774.6419999999998</v>
      </c>
      <c r="D22" s="44">
        <f>'Section 4 data'!$E$44</f>
        <v>42247.735000000001</v>
      </c>
      <c r="E22" s="250">
        <f>'Section 4 data'!$F$44</f>
        <v>6.4785578495440994</v>
      </c>
      <c r="F22" s="206">
        <f t="shared" si="1"/>
        <v>45022.377</v>
      </c>
    </row>
    <row r="23" spans="2:6" ht="15" customHeight="1" x14ac:dyDescent="0.2">
      <c r="B23" s="233" t="s">
        <v>366</v>
      </c>
      <c r="C23" s="43">
        <f>'Section 4 data'!$D$45</f>
        <v>8597.0780000000013</v>
      </c>
      <c r="D23" s="44">
        <f>'Section 4 data'!$E$45</f>
        <v>24369.628000000001</v>
      </c>
      <c r="E23" s="205">
        <f>'Section 4 data'!$F$45</f>
        <v>7.971385584575458</v>
      </c>
      <c r="F23" s="206">
        <f t="shared" si="1"/>
        <v>32966.706000000006</v>
      </c>
    </row>
    <row r="24" spans="2:6" ht="15" customHeight="1" x14ac:dyDescent="0.2">
      <c r="B24" s="236" t="s">
        <v>80</v>
      </c>
      <c r="C24" s="66">
        <f>'Section 4 data'!$D$7</f>
        <v>58204.506999999998</v>
      </c>
      <c r="D24" s="66">
        <f>'Section 4 data'!$E$7</f>
        <v>983274.19900000002</v>
      </c>
      <c r="E24" s="209">
        <f>'Section 4 data'!$F$7</f>
        <v>1.365053762885452</v>
      </c>
      <c r="F24" s="238">
        <f t="shared" si="1"/>
        <v>1041478.706</v>
      </c>
    </row>
    <row r="25" spans="2:6" ht="15" customHeight="1" x14ac:dyDescent="0.2">
      <c r="B25" s="243" t="s">
        <v>106</v>
      </c>
      <c r="C25" s="244"/>
      <c r="D25" s="244"/>
      <c r="E25" s="244"/>
      <c r="F25" s="244"/>
    </row>
    <row r="26" spans="2:6" ht="15" customHeight="1" x14ac:dyDescent="0.2">
      <c r="B26" s="233" t="s">
        <v>360</v>
      </c>
      <c r="C26" s="43">
        <f>'Section 4 data'!$D$47</f>
        <v>1735.2929999999999</v>
      </c>
      <c r="D26" s="44">
        <f>'Section 4 data'!$E$47</f>
        <v>16334.898999999999</v>
      </c>
      <c r="E26" s="205">
        <f>'Section 4 data'!$F$47</f>
        <v>9.1810652985576802</v>
      </c>
      <c r="F26" s="206">
        <f t="shared" ref="F26:F33" si="2">SUM(C26,D26)</f>
        <v>18070.191999999999</v>
      </c>
    </row>
    <row r="27" spans="2:6" ht="15" customHeight="1" x14ac:dyDescent="0.2">
      <c r="B27" s="235" t="s">
        <v>361</v>
      </c>
      <c r="C27" s="43">
        <f>'Section 4 data'!$D$48</f>
        <v>40182.158000000003</v>
      </c>
      <c r="D27" s="249">
        <f>'Section 4 data'!$E$48</f>
        <v>273824.38699999999</v>
      </c>
      <c r="E27" s="205">
        <f>'Section 4 data'!$F$48</f>
        <v>3.1626896183725535</v>
      </c>
      <c r="F27" s="206">
        <f t="shared" si="2"/>
        <v>314006.54499999998</v>
      </c>
    </row>
    <row r="28" spans="2:6" ht="15" customHeight="1" x14ac:dyDescent="0.2">
      <c r="B28" s="233" t="s">
        <v>362</v>
      </c>
      <c r="C28" s="43">
        <f>'Section 4 data'!$D$49</f>
        <v>81615.036999999997</v>
      </c>
      <c r="D28" s="44">
        <f>'Section 4 data'!$E$49</f>
        <v>503337.07199999999</v>
      </c>
      <c r="E28" s="205">
        <f>'Section 4 data'!$F$49</f>
        <v>2.345124249373217</v>
      </c>
      <c r="F28" s="206">
        <f t="shared" si="2"/>
        <v>584952.10899999994</v>
      </c>
    </row>
    <row r="29" spans="2:6" ht="15" customHeight="1" x14ac:dyDescent="0.2">
      <c r="B29" s="233" t="s">
        <v>363</v>
      </c>
      <c r="C29" s="43">
        <f>'Section 4 data'!$D$50</f>
        <v>53389.263000000006</v>
      </c>
      <c r="D29" s="44">
        <f>'Section 4 data'!$E$50</f>
        <v>189506.24900000001</v>
      </c>
      <c r="E29" s="250">
        <f>'Section 4 data'!$F$50</f>
        <v>2.9232475906409414</v>
      </c>
      <c r="F29" s="206">
        <f t="shared" si="2"/>
        <v>242895.51200000002</v>
      </c>
    </row>
    <row r="30" spans="2:6" ht="15" customHeight="1" x14ac:dyDescent="0.2">
      <c r="B30" s="233" t="s">
        <v>364</v>
      </c>
      <c r="C30" s="43">
        <f>'Section 4 data'!$D$51</f>
        <v>16653.277999999998</v>
      </c>
      <c r="D30" s="44">
        <f>'Section 4 data'!$E$51</f>
        <v>87922.754000000001</v>
      </c>
      <c r="E30" s="250">
        <f>'Section 4 data'!$F$51</f>
        <v>4.6386711126476303</v>
      </c>
      <c r="F30" s="206">
        <f t="shared" si="2"/>
        <v>104576.03200000001</v>
      </c>
    </row>
    <row r="31" spans="2:6" ht="15" customHeight="1" x14ac:dyDescent="0.2">
      <c r="B31" s="233" t="s">
        <v>365</v>
      </c>
      <c r="C31" s="43">
        <f>'Section 4 data'!$D$52</f>
        <v>4296.7449999999999</v>
      </c>
      <c r="D31" s="44">
        <f>'Section 4 data'!$E$52</f>
        <v>43488.453999999998</v>
      </c>
      <c r="E31" s="250">
        <f>'Section 4 data'!$F$52</f>
        <v>6.3452049724290678</v>
      </c>
      <c r="F31" s="206">
        <f t="shared" si="2"/>
        <v>47785.199000000001</v>
      </c>
    </row>
    <row r="32" spans="2:6" ht="15" customHeight="1" x14ac:dyDescent="0.2">
      <c r="B32" s="233" t="s">
        <v>366</v>
      </c>
      <c r="C32" s="43">
        <f>'Section 4 data'!$D$53</f>
        <v>8991.3860000000004</v>
      </c>
      <c r="D32" s="44">
        <f>'Section 4 data'!$E$53</f>
        <v>25131.621999999999</v>
      </c>
      <c r="E32" s="205">
        <f>'Section 4 data'!$F$53</f>
        <v>7.77982282638978</v>
      </c>
      <c r="F32" s="206">
        <f t="shared" si="2"/>
        <v>34123.008000000002</v>
      </c>
    </row>
    <row r="33" spans="2:6" ht="15" customHeight="1" x14ac:dyDescent="0.2">
      <c r="B33" s="239" t="s">
        <v>80</v>
      </c>
      <c r="C33" s="240">
        <f>'Section 4 data'!$D$5</f>
        <v>207905.27900000001</v>
      </c>
      <c r="D33" s="240">
        <f>'Section 4 data'!$E$5</f>
        <v>1139545.4410000001</v>
      </c>
      <c r="E33" s="213">
        <f>'Section 4 data'!$F$5</f>
        <v>1.2114807274468335</v>
      </c>
      <c r="F33" s="242">
        <f t="shared" si="2"/>
        <v>1347450.7200000002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CA9BE7F-DB91-4C71-817C-AFE771AEE0D9}">
            <xm:f>IF($E8&gt;Sheet1!$F$4,1,)</xm:f>
            <x14:dxf>
              <font>
                <color theme="0" tint="-0.499984740745262"/>
              </font>
            </x14:dxf>
          </x14:cfRule>
          <xm:sqref>D8:F15</xm:sqref>
        </x14:conditionalFormatting>
        <x14:conditionalFormatting xmlns:xm="http://schemas.microsoft.com/office/excel/2006/main">
          <x14:cfRule type="expression" priority="3" id="{C6CD1EDF-919D-4339-9071-12CC7AA4481F}">
            <xm:f>IF($E17&gt;Sheet1!$F$4,1,)</xm:f>
            <x14:dxf>
              <font>
                <color rgb="FF808080"/>
              </font>
            </x14:dxf>
          </x14:cfRule>
          <xm:sqref>D17:F24</xm:sqref>
        </x14:conditionalFormatting>
        <x14:conditionalFormatting xmlns:xm="http://schemas.microsoft.com/office/excel/2006/main">
          <x14:cfRule type="expression" priority="2" id="{2E942C51-C93A-4D23-B275-04CCB8F6694B}">
            <xm:f>IF($E26&gt;Sheet1!$F$4,1,)</xm:f>
            <x14:dxf>
              <font>
                <color rgb="FF808080"/>
              </font>
            </x14:dxf>
          </x14:cfRule>
          <xm:sqref>D26:E33</xm:sqref>
        </x14:conditionalFormatting>
        <x14:conditionalFormatting xmlns:xm="http://schemas.microsoft.com/office/excel/2006/main">
          <x14:cfRule type="cellIs" priority="1" operator="between" id="{D1CB28D8-5838-4DA9-888F-0F433BCA4792}">
            <xm:f>Sheet1!$D$4</xm:f>
            <xm:f>Sheet1!$E$4</xm:f>
            <x14:dxf>
              <numFmt numFmtId="173" formatCode="&quot;&lt; 1&quot;"/>
            </x14:dxf>
          </x14:cfRule>
          <xm:sqref>C8:D15 F8:F15 C17:D24 F17:F24 C26:D33 F26:F33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6" tint="0.59999389629810485"/>
  </sheetPr>
  <dimension ref="B3:F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182</v>
      </c>
      <c r="C3" t="s">
        <v>986</v>
      </c>
    </row>
    <row r="5" spans="2:6" ht="15" customHeight="1" x14ac:dyDescent="0.2">
      <c r="B5" s="1077" t="s">
        <v>126</v>
      </c>
      <c r="C5" s="40" t="s">
        <v>78</v>
      </c>
      <c r="D5" s="1057" t="s">
        <v>79</v>
      </c>
      <c r="E5" s="1057"/>
      <c r="F5" s="232" t="s">
        <v>80</v>
      </c>
    </row>
    <row r="6" spans="2:6" ht="30" customHeight="1" x14ac:dyDescent="0.2">
      <c r="B6" s="1078"/>
      <c r="C6" s="36" t="s">
        <v>271</v>
      </c>
      <c r="D6" s="36" t="s">
        <v>271</v>
      </c>
      <c r="E6" s="3" t="s">
        <v>82</v>
      </c>
      <c r="F6" s="212" t="s">
        <v>271</v>
      </c>
    </row>
    <row r="7" spans="2:6" ht="15" customHeight="1" x14ac:dyDescent="0.2">
      <c r="B7" s="243" t="s">
        <v>92</v>
      </c>
      <c r="C7" s="244"/>
      <c r="D7" s="244"/>
      <c r="E7" s="244"/>
      <c r="F7" s="244"/>
    </row>
    <row r="8" spans="2:6" ht="15" customHeight="1" x14ac:dyDescent="0.2">
      <c r="B8" s="233" t="s">
        <v>127</v>
      </c>
      <c r="C8" s="43">
        <f>'Section 4 data'!$D$58</f>
        <v>870.51800000000003</v>
      </c>
      <c r="D8" s="44">
        <f>'Section 4 data'!$E$58</f>
        <v>1344.8910000000001</v>
      </c>
      <c r="E8" s="205">
        <f>'Section 4 data'!$F$58</f>
        <v>32.306003937629207</v>
      </c>
      <c r="F8" s="206">
        <f>SUM(C8,D8)</f>
        <v>2215.4090000000001</v>
      </c>
    </row>
    <row r="9" spans="2:6" ht="15" customHeight="1" x14ac:dyDescent="0.2">
      <c r="B9" s="234" t="s">
        <v>128</v>
      </c>
      <c r="C9" s="43">
        <f>'Section 4 data'!$D$59</f>
        <v>16259.281999999999</v>
      </c>
      <c r="D9" s="44">
        <f>'Section 4 data'!$E$59</f>
        <v>16547.439999999999</v>
      </c>
      <c r="E9" s="205">
        <f>'Section 4 data'!$F$59</f>
        <v>13.334860494512782</v>
      </c>
      <c r="F9" s="206">
        <f t="shared" ref="F9:F17" si="0">SUM(C9,D9)</f>
        <v>32806.721999999994</v>
      </c>
    </row>
    <row r="10" spans="2:6" ht="15" customHeight="1" x14ac:dyDescent="0.2">
      <c r="B10" s="235" t="s">
        <v>129</v>
      </c>
      <c r="C10" s="43">
        <f>'Section 4 data'!$D$60</f>
        <v>55790.713000000003</v>
      </c>
      <c r="D10" s="44">
        <f>'Section 4 data'!$E$60</f>
        <v>26586.356</v>
      </c>
      <c r="E10" s="205">
        <f>'Section 4 data'!$F$60</f>
        <v>11.09145120827877</v>
      </c>
      <c r="F10" s="206">
        <f t="shared" si="0"/>
        <v>82377.069000000003</v>
      </c>
    </row>
    <row r="11" spans="2:6" ht="15" customHeight="1" x14ac:dyDescent="0.2">
      <c r="B11" s="233" t="s">
        <v>130</v>
      </c>
      <c r="C11" s="43">
        <f>'Section 4 data'!$D$61</f>
        <v>44531.315000000002</v>
      </c>
      <c r="D11" s="44">
        <f>'Section 4 data'!$E$61</f>
        <v>28915.35</v>
      </c>
      <c r="E11" s="205">
        <f>'Section 4 data'!$F$61</f>
        <v>8.366646105510247</v>
      </c>
      <c r="F11" s="206">
        <f t="shared" si="0"/>
        <v>73446.665000000008</v>
      </c>
    </row>
    <row r="12" spans="2:6" ht="15" customHeight="1" x14ac:dyDescent="0.2">
      <c r="B12" s="233" t="s">
        <v>131</v>
      </c>
      <c r="C12" s="43">
        <f>'Section 4 data'!$D$62</f>
        <v>22794.772000000001</v>
      </c>
      <c r="D12" s="44">
        <f>'Section 4 data'!$E$62</f>
        <v>44501.286999999997</v>
      </c>
      <c r="E12" s="205">
        <f>'Section 4 data'!$F$62</f>
        <v>5.1807003005734797</v>
      </c>
      <c r="F12" s="206">
        <f t="shared" si="0"/>
        <v>67296.058999999994</v>
      </c>
    </row>
    <row r="13" spans="2:6" ht="15" customHeight="1" x14ac:dyDescent="0.2">
      <c r="B13" s="233" t="s">
        <v>132</v>
      </c>
      <c r="C13" s="43">
        <f>'Section 4 data'!$D$63</f>
        <v>6442.2709999999997</v>
      </c>
      <c r="D13" s="44">
        <f>'Section 4 data'!$E$63</f>
        <v>19485.272000000001</v>
      </c>
      <c r="E13" s="205">
        <f>'Section 4 data'!$F$63</f>
        <v>5.4911472856885029</v>
      </c>
      <c r="F13" s="206">
        <f t="shared" si="0"/>
        <v>25927.543000000001</v>
      </c>
    </row>
    <row r="14" spans="2:6" ht="15" customHeight="1" x14ac:dyDescent="0.2">
      <c r="B14" s="233" t="s">
        <v>133</v>
      </c>
      <c r="C14" s="43">
        <f>'Section 4 data'!$D$64</f>
        <v>2868.375</v>
      </c>
      <c r="D14" s="44">
        <f>'Section 4 data'!$E$64</f>
        <v>7170.0150000000003</v>
      </c>
      <c r="E14" s="205">
        <f>'Section 4 data'!$F$64</f>
        <v>8.3550514005759169</v>
      </c>
      <c r="F14" s="206">
        <f t="shared" si="0"/>
        <v>10038.39</v>
      </c>
    </row>
    <row r="15" spans="2:6" ht="15" customHeight="1" x14ac:dyDescent="0.2">
      <c r="B15" s="233" t="s">
        <v>134</v>
      </c>
      <c r="C15" s="43">
        <f>'Section 4 data'!$D$65</f>
        <v>130.184</v>
      </c>
      <c r="D15" s="44">
        <f>'Section 4 data'!$E$65</f>
        <v>484.70400000000001</v>
      </c>
      <c r="E15" s="205">
        <f>'Section 4 data'!$F$65</f>
        <v>40.652222990266495</v>
      </c>
      <c r="F15" s="206">
        <f t="shared" si="0"/>
        <v>614.88800000000003</v>
      </c>
    </row>
    <row r="16" spans="2:6" ht="15" customHeight="1" x14ac:dyDescent="0.2">
      <c r="B16" s="233" t="s">
        <v>135</v>
      </c>
      <c r="C16" s="43">
        <f>'Section 4 data'!$D$66</f>
        <v>13.342000000000001</v>
      </c>
      <c r="D16" s="44">
        <f>'Section 4 data'!$E$66</f>
        <v>150.506</v>
      </c>
      <c r="E16" s="205">
        <f>'Section 4 data'!$F$66</f>
        <v>28.549241389702583</v>
      </c>
      <c r="F16" s="206">
        <f t="shared" si="0"/>
        <v>163.84800000000001</v>
      </c>
    </row>
    <row r="17" spans="2:6" ht="15" customHeight="1" x14ac:dyDescent="0.2">
      <c r="B17" s="236" t="s">
        <v>80</v>
      </c>
      <c r="C17" s="66">
        <f>'Section 4 data'!$D$6</f>
        <v>149700.77499999999</v>
      </c>
      <c r="D17" s="66">
        <f>'Section 4 data'!$E$6</f>
        <v>155504.29199999999</v>
      </c>
      <c r="E17" s="237">
        <f>'Section 4 data'!$F$6</f>
        <v>2.9411401766810834</v>
      </c>
      <c r="F17" s="238">
        <f t="shared" si="0"/>
        <v>305205.06699999998</v>
      </c>
    </row>
    <row r="18" spans="2:6" ht="15" customHeight="1" x14ac:dyDescent="0.2">
      <c r="B18" s="243" t="s">
        <v>105</v>
      </c>
      <c r="C18" s="244"/>
      <c r="D18" s="244"/>
      <c r="E18" s="244"/>
      <c r="F18" s="244"/>
    </row>
    <row r="19" spans="2:6" ht="15" customHeight="1" x14ac:dyDescent="0.2">
      <c r="B19" s="233" t="s">
        <v>127</v>
      </c>
      <c r="C19" s="43">
        <f>'Section 4 data'!$D$68</f>
        <v>3334.3150000000001</v>
      </c>
      <c r="D19" s="44">
        <f>'Section 4 data'!$E$68</f>
        <v>81093.243000000002</v>
      </c>
      <c r="E19" s="205">
        <f>'Section 4 data'!$F$68</f>
        <v>6.279049372080987</v>
      </c>
      <c r="F19" s="206">
        <f t="shared" ref="F19:F28" si="1">SUM(C19,D19)</f>
        <v>84427.558000000005</v>
      </c>
    </row>
    <row r="20" spans="2:6" ht="15" customHeight="1" x14ac:dyDescent="0.2">
      <c r="B20" s="234" t="s">
        <v>128</v>
      </c>
      <c r="C20" s="43">
        <f>'Section 4 data'!$D$69</f>
        <v>17761.655999999999</v>
      </c>
      <c r="D20" s="44">
        <f>'Section 4 data'!$E$69</f>
        <v>374025.81900000002</v>
      </c>
      <c r="E20" s="205">
        <f>'Section 4 data'!$F$69</f>
        <v>2.5927299643900863</v>
      </c>
      <c r="F20" s="206">
        <f t="shared" si="1"/>
        <v>391787.47500000003</v>
      </c>
    </row>
    <row r="21" spans="2:6" ht="15" customHeight="1" x14ac:dyDescent="0.2">
      <c r="B21" s="235" t="s">
        <v>129</v>
      </c>
      <c r="C21" s="43">
        <f>'Section 4 data'!$D$70</f>
        <v>14717.751</v>
      </c>
      <c r="D21" s="44">
        <f>'Section 4 data'!$E$70</f>
        <v>219912.85200000001</v>
      </c>
      <c r="E21" s="205">
        <f>'Section 4 data'!$F$70</f>
        <v>3.4502918855254765</v>
      </c>
      <c r="F21" s="206">
        <f t="shared" si="1"/>
        <v>234630.603</v>
      </c>
    </row>
    <row r="22" spans="2:6" ht="15" customHeight="1" x14ac:dyDescent="0.2">
      <c r="B22" s="233" t="s">
        <v>130</v>
      </c>
      <c r="C22" s="43">
        <f>'Section 4 data'!$D$71</f>
        <v>9206.31</v>
      </c>
      <c r="D22" s="44">
        <f>'Section 4 data'!$E$71</f>
        <v>87849.714999999997</v>
      </c>
      <c r="E22" s="205">
        <f>'Section 4 data'!$F$71</f>
        <v>4.3018141177311717</v>
      </c>
      <c r="F22" s="206">
        <f t="shared" si="1"/>
        <v>97056.024999999994</v>
      </c>
    </row>
    <row r="23" spans="2:6" ht="15" customHeight="1" x14ac:dyDescent="0.2">
      <c r="B23" s="233" t="s">
        <v>131</v>
      </c>
      <c r="C23" s="43">
        <f>'Section 4 data'!$D$72</f>
        <v>9663.31</v>
      </c>
      <c r="D23" s="44">
        <f>'Section 4 data'!$E$72</f>
        <v>76522.137000000002</v>
      </c>
      <c r="E23" s="205">
        <f>'Section 4 data'!$F$72</f>
        <v>3.4041772333698437</v>
      </c>
      <c r="F23" s="206">
        <f t="shared" si="1"/>
        <v>86185.447</v>
      </c>
    </row>
    <row r="24" spans="2:6" ht="15" customHeight="1" x14ac:dyDescent="0.2">
      <c r="B24" s="233" t="s">
        <v>132</v>
      </c>
      <c r="C24" s="43">
        <f>'Section 4 data'!$D$73</f>
        <v>2903.35</v>
      </c>
      <c r="D24" s="44">
        <f>'Section 4 data'!$E$73</f>
        <v>30400.537</v>
      </c>
      <c r="E24" s="205">
        <f>'Section 4 data'!$F$73</f>
        <v>4.768575559034411</v>
      </c>
      <c r="F24" s="206">
        <f t="shared" si="1"/>
        <v>33303.887000000002</v>
      </c>
    </row>
    <row r="25" spans="2:6" ht="15" customHeight="1" x14ac:dyDescent="0.2">
      <c r="B25" s="233" t="s">
        <v>133</v>
      </c>
      <c r="C25" s="43">
        <f>'Section 4 data'!$D$74</f>
        <v>563.56899999999996</v>
      </c>
      <c r="D25" s="44">
        <f>'Section 4 data'!$E$74</f>
        <v>20478.330000000002</v>
      </c>
      <c r="E25" s="205">
        <f>'Section 4 data'!$F$74</f>
        <v>3.9516647990727809</v>
      </c>
      <c r="F25" s="206">
        <f t="shared" si="1"/>
        <v>21041.899000000001</v>
      </c>
    </row>
    <row r="26" spans="2:6" ht="15" customHeight="1" x14ac:dyDescent="0.2">
      <c r="B26" s="233" t="s">
        <v>134</v>
      </c>
      <c r="C26" s="43">
        <f>'Section 4 data'!$D$75</f>
        <v>47.162999999999997</v>
      </c>
      <c r="D26" s="44">
        <f>'Section 4 data'!$E$75</f>
        <v>5120.5</v>
      </c>
      <c r="E26" s="205">
        <f>'Section 4 data'!$F$75</f>
        <v>7.373973760150891</v>
      </c>
      <c r="F26" s="206">
        <f t="shared" si="1"/>
        <v>5167.6629999999996</v>
      </c>
    </row>
    <row r="27" spans="2:6" ht="15" customHeight="1" x14ac:dyDescent="0.2">
      <c r="B27" s="233" t="s">
        <v>135</v>
      </c>
      <c r="C27" s="43">
        <f>'Section 4 data'!$D$76</f>
        <v>7.0830000000000002</v>
      </c>
      <c r="D27" s="44">
        <f>'Section 4 data'!$E$76</f>
        <v>1851.94</v>
      </c>
      <c r="E27" s="205">
        <f>'Section 4 data'!$F$76</f>
        <v>11.85885635070712</v>
      </c>
      <c r="F27" s="206">
        <f t="shared" si="1"/>
        <v>1859.0230000000001</v>
      </c>
    </row>
    <row r="28" spans="2:6" ht="15" customHeight="1" x14ac:dyDescent="0.2">
      <c r="B28" s="236" t="s">
        <v>80</v>
      </c>
      <c r="C28" s="66">
        <f>'Section 4 data'!$D$7</f>
        <v>58204.506999999998</v>
      </c>
      <c r="D28" s="66">
        <f>'Section 4 data'!$E$7</f>
        <v>983274.19900000002</v>
      </c>
      <c r="E28" s="237">
        <f>'Section 4 data'!$F$7</f>
        <v>1.365053762885452</v>
      </c>
      <c r="F28" s="238">
        <f t="shared" si="1"/>
        <v>1041478.706</v>
      </c>
    </row>
    <row r="29" spans="2:6" ht="15" customHeight="1" x14ac:dyDescent="0.2">
      <c r="B29" s="243" t="s">
        <v>106</v>
      </c>
      <c r="C29" s="244"/>
      <c r="D29" s="244"/>
      <c r="E29" s="244"/>
      <c r="F29" s="244"/>
    </row>
    <row r="30" spans="2:6" ht="15" customHeight="1" x14ac:dyDescent="0.2">
      <c r="B30" s="233" t="s">
        <v>127</v>
      </c>
      <c r="C30" s="43">
        <f>'Section 4 data'!$D$78</f>
        <v>4204.8329999999996</v>
      </c>
      <c r="D30" s="44">
        <f>'Section 4 data'!$E$78</f>
        <v>82498.11</v>
      </c>
      <c r="E30" s="205">
        <f>'Section 4 data'!$F$78</f>
        <v>6.1900729155197256</v>
      </c>
      <c r="F30" s="206">
        <f t="shared" ref="F30:F39" si="2">SUM(C30,D30)</f>
        <v>86702.942999999999</v>
      </c>
    </row>
    <row r="31" spans="2:6" ht="15" customHeight="1" x14ac:dyDescent="0.2">
      <c r="B31" s="234" t="s">
        <v>128</v>
      </c>
      <c r="C31" s="43">
        <f>'Section 4 data'!$D$79</f>
        <v>34020.936999999998</v>
      </c>
      <c r="D31" s="44">
        <f>'Section 4 data'!$E$79</f>
        <v>391033.89399999997</v>
      </c>
      <c r="E31" s="205">
        <f>'Section 4 data'!$F$79</f>
        <v>2.537169314387568</v>
      </c>
      <c r="F31" s="206">
        <f t="shared" si="2"/>
        <v>425054.83099999995</v>
      </c>
    </row>
    <row r="32" spans="2:6" ht="15" customHeight="1" x14ac:dyDescent="0.2">
      <c r="B32" s="235" t="s">
        <v>129</v>
      </c>
      <c r="C32" s="43">
        <f>'Section 4 data'!$D$80</f>
        <v>70508.463000000003</v>
      </c>
      <c r="D32" s="44">
        <f>'Section 4 data'!$E$80</f>
        <v>246963.98300000001</v>
      </c>
      <c r="E32" s="205">
        <f>'Section 4 data'!$F$80</f>
        <v>3.2959781134938284</v>
      </c>
      <c r="F32" s="206">
        <f t="shared" si="2"/>
        <v>317472.446</v>
      </c>
    </row>
    <row r="33" spans="2:6" ht="15" customHeight="1" x14ac:dyDescent="0.2">
      <c r="B33" s="233" t="s">
        <v>130</v>
      </c>
      <c r="C33" s="43">
        <f>'Section 4 data'!$D$81</f>
        <v>53737.625</v>
      </c>
      <c r="D33" s="44">
        <f>'Section 4 data'!$E$81</f>
        <v>117002.702</v>
      </c>
      <c r="E33" s="205">
        <f>'Section 4 data'!$F$81</f>
        <v>3.8572628455464741</v>
      </c>
      <c r="F33" s="206">
        <f t="shared" si="2"/>
        <v>170740.32699999999</v>
      </c>
    </row>
    <row r="34" spans="2:6" ht="15" customHeight="1" x14ac:dyDescent="0.2">
      <c r="B34" s="233" t="s">
        <v>131</v>
      </c>
      <c r="C34" s="43">
        <f>'Section 4 data'!$D$82</f>
        <v>32458.080999999998</v>
      </c>
      <c r="D34" s="44">
        <f>'Section 4 data'!$E$82</f>
        <v>120615.69</v>
      </c>
      <c r="E34" s="205">
        <f>'Section 4 data'!$F$82</f>
        <v>2.8667199907943095</v>
      </c>
      <c r="F34" s="206">
        <f t="shared" si="2"/>
        <v>153073.77100000001</v>
      </c>
    </row>
    <row r="35" spans="2:6" ht="15" customHeight="1" x14ac:dyDescent="0.2">
      <c r="B35" s="233" t="s">
        <v>132</v>
      </c>
      <c r="C35" s="43">
        <f>'Section 4 data'!$D$83</f>
        <v>9345.6200000000008</v>
      </c>
      <c r="D35" s="44">
        <f>'Section 4 data'!$E$83</f>
        <v>49858.381000000001</v>
      </c>
      <c r="E35" s="205">
        <f>'Section 4 data'!$F$83</f>
        <v>3.6276749333053249</v>
      </c>
      <c r="F35" s="206">
        <f t="shared" si="2"/>
        <v>59204.001000000004</v>
      </c>
    </row>
    <row r="36" spans="2:6" ht="15" customHeight="1" x14ac:dyDescent="0.2">
      <c r="B36" s="233" t="s">
        <v>133</v>
      </c>
      <c r="C36" s="43">
        <f>'Section 4 data'!$D$84</f>
        <v>3431.9430000000002</v>
      </c>
      <c r="D36" s="44">
        <f>'Section 4 data'!$E$84</f>
        <v>27651.194</v>
      </c>
      <c r="E36" s="205">
        <f>'Section 4 data'!$F$84</f>
        <v>3.6405951846040079</v>
      </c>
      <c r="F36" s="206">
        <f t="shared" si="2"/>
        <v>31083.136999999999</v>
      </c>
    </row>
    <row r="37" spans="2:6" ht="15" customHeight="1" x14ac:dyDescent="0.2">
      <c r="B37" s="233" t="s">
        <v>134</v>
      </c>
      <c r="C37" s="43">
        <f>'Section 4 data'!$D$85</f>
        <v>177.346</v>
      </c>
      <c r="D37" s="44">
        <f>'Section 4 data'!$E$85</f>
        <v>5601.3630000000003</v>
      </c>
      <c r="E37" s="205">
        <f>'Section 4 data'!$F$85</f>
        <v>7.5958545895764633</v>
      </c>
      <c r="F37" s="206">
        <f t="shared" si="2"/>
        <v>5778.7090000000007</v>
      </c>
    </row>
    <row r="38" spans="2:6" ht="15" customHeight="1" x14ac:dyDescent="0.2">
      <c r="B38" s="233" t="s">
        <v>135</v>
      </c>
      <c r="C38" s="43">
        <f>'Section 4 data'!$D$86</f>
        <v>20.425000000000001</v>
      </c>
      <c r="D38" s="44">
        <f>'Section 4 data'!$E$86</f>
        <v>2005.998</v>
      </c>
      <c r="E38" s="205">
        <f>'Section 4 data'!$F$86</f>
        <v>11.174758653236875</v>
      </c>
      <c r="F38" s="206">
        <f t="shared" si="2"/>
        <v>2026.423</v>
      </c>
    </row>
    <row r="39" spans="2:6" ht="15" customHeight="1" x14ac:dyDescent="0.2">
      <c r="B39" s="239" t="s">
        <v>80</v>
      </c>
      <c r="C39" s="240">
        <f>'Section 4 data'!$D$5</f>
        <v>207905.27900000001</v>
      </c>
      <c r="D39" s="240">
        <f>'Section 4 data'!$E$5</f>
        <v>1139545.4410000001</v>
      </c>
      <c r="E39" s="241">
        <f>'Section 4 data'!$F$5</f>
        <v>1.2114807274468335</v>
      </c>
      <c r="F39" s="242">
        <f t="shared" si="2"/>
        <v>1347450.7200000002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7944197-DEF6-44D6-B721-FB5C49211A2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expression" priority="3" id="{6A7995B6-FDEC-4DDE-8320-D9DD30D2B808}">
            <xm:f>IF($E19&gt;Sheet1!$F$4,1,)</xm:f>
            <x14:dxf>
              <font>
                <color rgb="FF808080"/>
              </font>
            </x14:dxf>
          </x14:cfRule>
          <xm:sqref>D19:F28</xm:sqref>
        </x14:conditionalFormatting>
        <x14:conditionalFormatting xmlns:xm="http://schemas.microsoft.com/office/excel/2006/main">
          <x14:cfRule type="expression" priority="2" id="{23152FA9-9FD4-4D07-BC12-2304E36770A1}">
            <xm:f>IF($E30&gt;Sheet1!$F$4,1,)</xm:f>
            <x14:dxf>
              <font>
                <color rgb="FF808080"/>
              </font>
            </x14:dxf>
          </x14:cfRule>
          <xm:sqref>D30:F39</xm:sqref>
        </x14:conditionalFormatting>
        <x14:conditionalFormatting xmlns:xm="http://schemas.microsoft.com/office/excel/2006/main">
          <x14:cfRule type="cellIs" priority="1" operator="between" id="{8124710A-727D-4EC5-8BD4-8DBF9B141675}">
            <xm:f>Sheet1!$D$4</xm:f>
            <xm:f>Sheet1!$E$4</xm:f>
            <x14:dxf>
              <numFmt numFmtId="173" formatCode="&quot;&lt; 1&quot;"/>
            </x14:dxf>
          </x14:cfRule>
          <xm:sqref>C8:D17 F8:F17 C19:D28 F19:F28 C30:D39 F30:F39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Index!$E$49</f>
        <v>Biomass stocks in live woodland trees</v>
      </c>
    </row>
  </sheetData>
  <hyperlinks>
    <hyperlink ref="A1" location="Index!B37" display="Return to index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x14ac:dyDescent="0.2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x14ac:dyDescent="0.2">
      <c r="A3" s="278"/>
      <c r="B3" s="992" t="s">
        <v>711</v>
      </c>
      <c r="C3" s="993"/>
      <c r="D3" s="993"/>
      <c r="E3" s="993"/>
      <c r="F3" s="993"/>
      <c r="G3" s="993"/>
      <c r="H3" s="993"/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150"/>
    </row>
    <row r="5" spans="1:19" s="23" customFormat="1" x14ac:dyDescent="0.2">
      <c r="A5" s="433"/>
      <c r="B5" s="441"/>
      <c r="C5" s="431" t="s">
        <v>106</v>
      </c>
      <c r="D5" s="432">
        <v>25379.763999999999</v>
      </c>
      <c r="E5" s="434">
        <v>183073.11799999999</v>
      </c>
      <c r="F5" s="439">
        <v>1.2306123508003832</v>
      </c>
      <c r="G5" s="446">
        <f>E5*F5/100</f>
        <v>2252.9204011033594</v>
      </c>
      <c r="H5" s="447">
        <f>SUM(D5,E5)</f>
        <v>208452.88199999998</v>
      </c>
      <c r="I5" s="433"/>
      <c r="J5" s="433"/>
    </row>
    <row r="6" spans="1:19" s="24" customFormat="1" x14ac:dyDescent="0.2">
      <c r="A6" s="435"/>
      <c r="B6" s="442"/>
      <c r="C6" s="431" t="s">
        <v>92</v>
      </c>
      <c r="D6" s="432">
        <v>17294.406999999999</v>
      </c>
      <c r="E6" s="434">
        <v>38364.232000000004</v>
      </c>
      <c r="F6" s="439">
        <v>2.3163705870022167</v>
      </c>
      <c r="G6" s="446">
        <f t="shared" ref="G6:G26" si="0">E6*F6/100</f>
        <v>888.65778597729241</v>
      </c>
      <c r="H6" s="447">
        <f>SUM(D6,E6)</f>
        <v>55658.639000000003</v>
      </c>
      <c r="I6" s="435"/>
      <c r="J6" s="435"/>
    </row>
    <row r="7" spans="1:19" s="24" customFormat="1" x14ac:dyDescent="0.2">
      <c r="A7" s="435"/>
      <c r="B7" s="442"/>
      <c r="C7" s="431" t="s">
        <v>105</v>
      </c>
      <c r="D7" s="432">
        <v>8085.3559999999998</v>
      </c>
      <c r="E7" s="434">
        <v>144755.245</v>
      </c>
      <c r="F7" s="439">
        <v>1.4751990990213537</v>
      </c>
      <c r="G7" s="446">
        <f>E7*F7/100</f>
        <v>2135.4280700261529</v>
      </c>
      <c r="H7" s="447">
        <f>SUM(D7,E7)</f>
        <v>152840.601</v>
      </c>
      <c r="I7" s="435"/>
      <c r="J7" s="435"/>
    </row>
    <row r="8" spans="1:19" s="24" customFormat="1" x14ac:dyDescent="0.2">
      <c r="A8" s="435"/>
      <c r="B8" s="442"/>
      <c r="C8" s="431" t="s">
        <v>84</v>
      </c>
      <c r="D8" s="432">
        <v>5994.15</v>
      </c>
      <c r="E8" s="436">
        <v>6687.0749999999998</v>
      </c>
      <c r="F8" s="439">
        <v>7.8114566648647683</v>
      </c>
      <c r="G8" s="446">
        <f t="shared" si="0"/>
        <v>522.35796577200574</v>
      </c>
      <c r="H8" s="447">
        <f>SUM(D8,E8)</f>
        <v>12681.224999999999</v>
      </c>
      <c r="I8" s="435"/>
      <c r="J8" s="435"/>
    </row>
    <row r="9" spans="1:19" s="24" customFormat="1" x14ac:dyDescent="0.2">
      <c r="A9" s="435"/>
      <c r="B9" s="442"/>
      <c r="C9" s="431" t="s">
        <v>85</v>
      </c>
      <c r="D9" s="432">
        <v>2730.0619999999999</v>
      </c>
      <c r="E9" s="436">
        <v>10078.215</v>
      </c>
      <c r="F9" s="439">
        <v>5.1451447042610496</v>
      </c>
      <c r="G9" s="446">
        <f t="shared" si="0"/>
        <v>518.53874535654279</v>
      </c>
      <c r="H9" s="447">
        <f t="shared" ref="H9:H26" si="1">SUM(D9,E9)</f>
        <v>12808.277</v>
      </c>
      <c r="I9" s="435"/>
      <c r="J9" s="435"/>
    </row>
    <row r="10" spans="1:19" s="24" customFormat="1" x14ac:dyDescent="0.2">
      <c r="A10" s="435"/>
      <c r="B10" s="442"/>
      <c r="C10" s="431" t="s">
        <v>86</v>
      </c>
      <c r="D10" s="432">
        <v>3298.232</v>
      </c>
      <c r="E10" s="436">
        <v>2724.9870000000001</v>
      </c>
      <c r="F10" s="439">
        <v>9.4619460408965228</v>
      </c>
      <c r="G10" s="446">
        <f t="shared" si="0"/>
        <v>257.83679956144493</v>
      </c>
      <c r="H10" s="447">
        <f t="shared" si="1"/>
        <v>6023.2190000000001</v>
      </c>
      <c r="I10" s="435"/>
      <c r="J10" s="435"/>
    </row>
    <row r="11" spans="1:19" s="24" customFormat="1" x14ac:dyDescent="0.2">
      <c r="A11" s="435"/>
      <c r="B11" s="442"/>
      <c r="C11" s="431" t="s">
        <v>87</v>
      </c>
      <c r="D11" s="432">
        <v>926.04</v>
      </c>
      <c r="E11" s="436">
        <v>3658.0680000000002</v>
      </c>
      <c r="F11" s="439">
        <v>7.659064745324951</v>
      </c>
      <c r="G11" s="446">
        <f t="shared" si="0"/>
        <v>280.17379654801357</v>
      </c>
      <c r="H11" s="447">
        <f t="shared" si="1"/>
        <v>4584.1080000000002</v>
      </c>
      <c r="I11" s="435"/>
      <c r="J11" s="435"/>
    </row>
    <row r="12" spans="1:19" s="24" customFormat="1" x14ac:dyDescent="0.2">
      <c r="A12" s="435"/>
      <c r="B12" s="442"/>
      <c r="C12" s="431" t="s">
        <v>88</v>
      </c>
      <c r="D12" s="432">
        <v>1105.135</v>
      </c>
      <c r="E12" s="436">
        <v>6315.14</v>
      </c>
      <c r="F12" s="439">
        <v>5.7243755250813493</v>
      </c>
      <c r="G12" s="446">
        <f t="shared" si="0"/>
        <v>361.50232853462234</v>
      </c>
      <c r="H12" s="447">
        <f t="shared" si="1"/>
        <v>7420.2750000000005</v>
      </c>
      <c r="I12" s="435"/>
      <c r="J12" s="435"/>
    </row>
    <row r="13" spans="1:19" s="24" customFormat="1" x14ac:dyDescent="0.2">
      <c r="A13" s="435"/>
      <c r="B13" s="442"/>
      <c r="C13" s="431" t="s">
        <v>89</v>
      </c>
      <c r="D13" s="432">
        <v>1787.097</v>
      </c>
      <c r="E13" s="436">
        <v>4071.076</v>
      </c>
      <c r="F13" s="439">
        <v>9.4673806737191839</v>
      </c>
      <c r="G13" s="446">
        <f t="shared" si="0"/>
        <v>385.42426243642001</v>
      </c>
      <c r="H13" s="447">
        <f t="shared" si="1"/>
        <v>5858.1729999999998</v>
      </c>
      <c r="I13" s="435"/>
      <c r="J13" s="435"/>
    </row>
    <row r="14" spans="1:19" s="24" customFormat="1" x14ac:dyDescent="0.2">
      <c r="A14" s="435"/>
      <c r="B14" s="442"/>
      <c r="C14" s="431" t="s">
        <v>90</v>
      </c>
      <c r="D14" s="432">
        <v>610.27599999999995</v>
      </c>
      <c r="E14" s="436">
        <v>708.91899999999998</v>
      </c>
      <c r="F14" s="439">
        <v>20.780009745405206</v>
      </c>
      <c r="G14" s="446">
        <f t="shared" si="0"/>
        <v>147.31343728702913</v>
      </c>
      <c r="H14" s="447">
        <f t="shared" si="1"/>
        <v>1319.1949999999999</v>
      </c>
      <c r="I14" s="435"/>
      <c r="J14" s="435"/>
    </row>
    <row r="15" spans="1:19" s="24" customFormat="1" x14ac:dyDescent="0.2">
      <c r="A15" s="435"/>
      <c r="B15" s="442"/>
      <c r="C15" s="431" t="s">
        <v>91</v>
      </c>
      <c r="D15" s="432">
        <v>843.41800000000001</v>
      </c>
      <c r="E15" s="436">
        <v>4089.6959999999999</v>
      </c>
      <c r="F15" s="439">
        <v>9.2972040132335323</v>
      </c>
      <c r="G15" s="446">
        <f t="shared" si="0"/>
        <v>380.22738064105118</v>
      </c>
      <c r="H15" s="447">
        <f t="shared" si="1"/>
        <v>4933.1139999999996</v>
      </c>
      <c r="I15" s="435"/>
      <c r="J15" s="435"/>
    </row>
    <row r="16" spans="1:19" s="24" customFormat="1" x14ac:dyDescent="0.2">
      <c r="A16" s="435"/>
      <c r="B16" s="442"/>
      <c r="C16" s="431" t="s">
        <v>94</v>
      </c>
      <c r="D16" s="432">
        <v>3034.5680000000002</v>
      </c>
      <c r="E16" s="436">
        <v>42837.58</v>
      </c>
      <c r="F16" s="439">
        <v>3.3255831429908338</v>
      </c>
      <c r="G16" s="446">
        <f t="shared" si="0"/>
        <v>1424.5993393452127</v>
      </c>
      <c r="H16" s="447">
        <f t="shared" si="1"/>
        <v>45872.148000000001</v>
      </c>
      <c r="I16" s="435"/>
      <c r="J16" s="435"/>
    </row>
    <row r="17" spans="1:18" s="24" customFormat="1" x14ac:dyDescent="0.2">
      <c r="A17" s="435"/>
      <c r="B17" s="442"/>
      <c r="C17" s="431" t="s">
        <v>95</v>
      </c>
      <c r="D17" s="432">
        <v>2615.3220000000001</v>
      </c>
      <c r="E17" s="436">
        <v>16108.285</v>
      </c>
      <c r="F17" s="439">
        <v>6.1142578771131735</v>
      </c>
      <c r="G17" s="446">
        <f t="shared" si="0"/>
        <v>984.90208448033968</v>
      </c>
      <c r="H17" s="447">
        <f t="shared" si="1"/>
        <v>18723.607</v>
      </c>
      <c r="I17" s="435"/>
      <c r="J17" s="435"/>
    </row>
    <row r="18" spans="1:18" s="24" customFormat="1" x14ac:dyDescent="0.2">
      <c r="A18" s="435"/>
      <c r="B18" s="442"/>
      <c r="C18" s="431" t="s">
        <v>96</v>
      </c>
      <c r="D18" s="432">
        <v>137.68</v>
      </c>
      <c r="E18" s="436">
        <v>13442.67</v>
      </c>
      <c r="F18" s="439">
        <v>5.6951510708938997</v>
      </c>
      <c r="G18" s="446">
        <f t="shared" si="0"/>
        <v>765.58036446173298</v>
      </c>
      <c r="H18" s="447">
        <f t="shared" si="1"/>
        <v>13580.35</v>
      </c>
      <c r="I18" s="435"/>
      <c r="J18" s="435"/>
    </row>
    <row r="19" spans="1:18" s="24" customFormat="1" x14ac:dyDescent="0.2">
      <c r="A19" s="435"/>
      <c r="B19" s="442"/>
      <c r="C19" s="431" t="s">
        <v>97</v>
      </c>
      <c r="D19" s="432">
        <v>388.55399999999997</v>
      </c>
      <c r="E19" s="436">
        <v>24165.185000000001</v>
      </c>
      <c r="F19" s="439">
        <v>3.8964388337870215</v>
      </c>
      <c r="G19" s="446">
        <f t="shared" si="0"/>
        <v>941.58165259647637</v>
      </c>
      <c r="H19" s="447">
        <f t="shared" si="1"/>
        <v>24553.739000000001</v>
      </c>
      <c r="I19" s="435"/>
      <c r="J19" s="435"/>
    </row>
    <row r="20" spans="1:18" s="24" customFormat="1" x14ac:dyDescent="0.2">
      <c r="A20" s="435"/>
      <c r="B20" s="442"/>
      <c r="C20" s="431" t="s">
        <v>98</v>
      </c>
      <c r="D20" s="432">
        <v>502.37799999999999</v>
      </c>
      <c r="E20" s="436">
        <v>10675.868</v>
      </c>
      <c r="F20" s="439">
        <v>4.1490159470814598</v>
      </c>
      <c r="G20" s="446">
        <f t="shared" si="0"/>
        <v>442.94346580936656</v>
      </c>
      <c r="H20" s="447">
        <f t="shared" si="1"/>
        <v>11178.246000000001</v>
      </c>
      <c r="I20" s="435"/>
      <c r="J20" s="435"/>
    </row>
    <row r="21" spans="1:18" s="24" customFormat="1" x14ac:dyDescent="0.2">
      <c r="A21" s="435"/>
      <c r="B21" s="442"/>
      <c r="C21" s="431" t="s">
        <v>99</v>
      </c>
      <c r="D21" s="432">
        <v>106.78</v>
      </c>
      <c r="E21" s="436">
        <v>6165.6719999999996</v>
      </c>
      <c r="F21" s="439">
        <v>8.4046409211804392</v>
      </c>
      <c r="G21" s="446">
        <f t="shared" si="0"/>
        <v>518.20259197776443</v>
      </c>
      <c r="H21" s="447">
        <f t="shared" si="1"/>
        <v>6272.4519999999993</v>
      </c>
      <c r="I21" s="435"/>
      <c r="J21" s="435"/>
    </row>
    <row r="22" spans="1:18" s="24" customFormat="1" x14ac:dyDescent="0.2">
      <c r="A22" s="435"/>
      <c r="B22" s="442"/>
      <c r="C22" s="431" t="s">
        <v>100</v>
      </c>
      <c r="D22" s="432">
        <v>43.822000000000003</v>
      </c>
      <c r="E22" s="436">
        <v>4642.3919999999998</v>
      </c>
      <c r="F22" s="439">
        <v>5.0667037873191365</v>
      </c>
      <c r="G22" s="446">
        <f t="shared" si="0"/>
        <v>235.21625128620062</v>
      </c>
      <c r="H22" s="447">
        <f t="shared" si="1"/>
        <v>4686.2139999999999</v>
      </c>
      <c r="I22" s="435"/>
      <c r="J22" s="435"/>
    </row>
    <row r="23" spans="1:18" s="24" customFormat="1" x14ac:dyDescent="0.2">
      <c r="A23" s="435"/>
      <c r="B23" s="442"/>
      <c r="C23" s="431" t="s">
        <v>101</v>
      </c>
      <c r="D23" s="432">
        <v>0.13</v>
      </c>
      <c r="E23" s="436">
        <v>3208.239</v>
      </c>
      <c r="F23" s="439">
        <v>5.7112358475753631</v>
      </c>
      <c r="G23" s="446">
        <f t="shared" si="0"/>
        <v>183.23009584389337</v>
      </c>
      <c r="H23" s="447">
        <f t="shared" si="1"/>
        <v>3208.3690000000001</v>
      </c>
      <c r="I23" s="435"/>
      <c r="J23" s="435"/>
    </row>
    <row r="24" spans="1:18" s="24" customFormat="1" x14ac:dyDescent="0.2">
      <c r="A24" s="435"/>
      <c r="B24" s="442"/>
      <c r="C24" s="431" t="s">
        <v>102</v>
      </c>
      <c r="D24" s="432">
        <v>58.298000000000002</v>
      </c>
      <c r="E24" s="436">
        <v>5229.125</v>
      </c>
      <c r="F24" s="439">
        <v>7.4416327299260692</v>
      </c>
      <c r="G24" s="446">
        <f t="shared" si="0"/>
        <v>389.13227748874652</v>
      </c>
      <c r="H24" s="447">
        <f t="shared" si="1"/>
        <v>5287.4229999999998</v>
      </c>
      <c r="I24" s="435"/>
      <c r="J24" s="435"/>
    </row>
    <row r="25" spans="1:18" s="24" customFormat="1" x14ac:dyDescent="0.2">
      <c r="A25" s="435"/>
      <c r="B25" s="442"/>
      <c r="C25" s="431" t="s">
        <v>103</v>
      </c>
      <c r="D25" s="432">
        <v>0.93500000000000005</v>
      </c>
      <c r="E25" s="436">
        <v>4922.241</v>
      </c>
      <c r="F25" s="439">
        <v>7.4100255708278659</v>
      </c>
      <c r="G25" s="446">
        <f t="shared" si="0"/>
        <v>364.73931675777328</v>
      </c>
      <c r="H25" s="447">
        <f t="shared" si="1"/>
        <v>4923.1760000000004</v>
      </c>
      <c r="I25" s="435"/>
      <c r="J25" s="435"/>
    </row>
    <row r="26" spans="1:18" s="24" customFormat="1" ht="13.5" thickBot="1" x14ac:dyDescent="0.25">
      <c r="A26" s="435"/>
      <c r="B26" s="297"/>
      <c r="C26" s="437" t="s">
        <v>104</v>
      </c>
      <c r="D26" s="440">
        <v>1196.8869999999999</v>
      </c>
      <c r="E26" s="440">
        <v>13373.853999999999</v>
      </c>
      <c r="F26" s="438">
        <v>4.5903772381163961</v>
      </c>
      <c r="G26" s="336">
        <f t="shared" si="0"/>
        <v>613.91034987491912</v>
      </c>
      <c r="H26" s="344">
        <f t="shared" si="1"/>
        <v>14570.741</v>
      </c>
      <c r="I26" s="435"/>
      <c r="J26" s="435"/>
    </row>
    <row r="27" spans="1:18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8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  <row r="29" spans="1:18" s="24" customFormat="1" x14ac:dyDescent="0.2">
      <c r="B29" s="992" t="s">
        <v>711</v>
      </c>
      <c r="C29" s="993"/>
      <c r="D29" s="993"/>
      <c r="E29" s="993"/>
      <c r="F29" s="993"/>
      <c r="G29" s="993"/>
      <c r="H29" s="993"/>
    </row>
    <row r="30" spans="1:18" s="24" customFormat="1" x14ac:dyDescent="0.2">
      <c r="B30" s="286"/>
      <c r="C30" s="286" t="s">
        <v>709</v>
      </c>
      <c r="D30" s="445" t="s">
        <v>78</v>
      </c>
      <c r="E30" s="445" t="s">
        <v>309</v>
      </c>
      <c r="F30" s="445" t="s">
        <v>82</v>
      </c>
      <c r="G30" s="445" t="s">
        <v>310</v>
      </c>
      <c r="H30" s="445" t="s">
        <v>486</v>
      </c>
    </row>
    <row r="31" spans="1:18" s="23" customFormat="1" x14ac:dyDescent="0.2">
      <c r="B31" s="441" t="s">
        <v>92</v>
      </c>
      <c r="C31" s="431" t="s">
        <v>119</v>
      </c>
      <c r="D31" s="432"/>
      <c r="E31" s="434"/>
      <c r="F31" s="439"/>
      <c r="G31" s="446">
        <f>E31*F31/100</f>
        <v>0</v>
      </c>
      <c r="H31" s="447">
        <f>SUM(D31,E31)</f>
        <v>0</v>
      </c>
      <c r="K31" t="s">
        <v>379</v>
      </c>
      <c r="L31" t="s">
        <v>611</v>
      </c>
      <c r="M31" t="s">
        <v>612</v>
      </c>
      <c r="N31" t="s">
        <v>613</v>
      </c>
      <c r="O31" t="s">
        <v>614</v>
      </c>
      <c r="P31" t="s">
        <v>613</v>
      </c>
      <c r="Q31" t="s">
        <v>615</v>
      </c>
      <c r="R31" t="s">
        <v>613</v>
      </c>
    </row>
    <row r="32" spans="1:18" s="23" customFormat="1" x14ac:dyDescent="0.2">
      <c r="B32" s="441"/>
      <c r="C32" s="431" t="s">
        <v>120</v>
      </c>
      <c r="D32" s="432"/>
      <c r="E32" s="434"/>
      <c r="F32" s="439"/>
      <c r="G32" s="446">
        <f t="shared" ref="G32:G37" si="2">E32*F32/100</f>
        <v>0</v>
      </c>
      <c r="H32" s="447">
        <f t="shared" ref="H32:H37" si="3">SUM(D32,E32)</f>
        <v>0</v>
      </c>
      <c r="K32">
        <v>2012</v>
      </c>
      <c r="L32" t="s">
        <v>616</v>
      </c>
      <c r="M32" s="540"/>
      <c r="N32" s="540"/>
      <c r="O32" s="540"/>
      <c r="P32" s="540"/>
      <c r="Q32" s="540"/>
      <c r="R32" s="540"/>
    </row>
    <row r="33" spans="2:18" s="23" customFormat="1" x14ac:dyDescent="0.2">
      <c r="B33" s="441"/>
      <c r="C33" s="431" t="s">
        <v>121</v>
      </c>
      <c r="D33" s="432"/>
      <c r="E33" s="434"/>
      <c r="F33" s="439"/>
      <c r="G33" s="446">
        <f t="shared" si="2"/>
        <v>0</v>
      </c>
      <c r="H33" s="447">
        <f t="shared" si="3"/>
        <v>0</v>
      </c>
      <c r="K33"/>
      <c r="L33" t="s">
        <v>617</v>
      </c>
      <c r="M33" s="540"/>
      <c r="N33" s="540"/>
      <c r="O33" s="540"/>
      <c r="P33" s="540"/>
      <c r="Q33" s="540"/>
      <c r="R33" s="540"/>
    </row>
    <row r="34" spans="2:18" s="23" customFormat="1" x14ac:dyDescent="0.2">
      <c r="B34" s="441"/>
      <c r="C34" s="431" t="s">
        <v>122</v>
      </c>
      <c r="D34" s="432"/>
      <c r="E34" s="434"/>
      <c r="F34" s="439"/>
      <c r="G34" s="446">
        <f t="shared" si="2"/>
        <v>0</v>
      </c>
      <c r="H34" s="447">
        <f t="shared" si="3"/>
        <v>0</v>
      </c>
      <c r="K34"/>
      <c r="L34" s="450" t="s">
        <v>618</v>
      </c>
      <c r="M34" s="541"/>
      <c r="N34" s="541"/>
      <c r="O34" s="541"/>
      <c r="P34" s="541"/>
      <c r="Q34" s="541"/>
      <c r="R34" s="541"/>
    </row>
    <row r="35" spans="2:18" s="23" customFormat="1" x14ac:dyDescent="0.2">
      <c r="B35" s="441"/>
      <c r="C35" s="431" t="s">
        <v>123</v>
      </c>
      <c r="D35" s="432"/>
      <c r="E35" s="434"/>
      <c r="F35" s="439"/>
      <c r="G35" s="446">
        <f t="shared" si="2"/>
        <v>0</v>
      </c>
      <c r="H35" s="447">
        <f t="shared" si="3"/>
        <v>0</v>
      </c>
      <c r="K35"/>
      <c r="L35" s="450" t="s">
        <v>619</v>
      </c>
      <c r="M35" s="541"/>
      <c r="N35" s="541"/>
      <c r="O35" s="541"/>
      <c r="P35" s="541"/>
      <c r="Q35" s="541"/>
      <c r="R35" s="541"/>
    </row>
    <row r="36" spans="2:18" s="23" customFormat="1" x14ac:dyDescent="0.2">
      <c r="B36" s="441"/>
      <c r="C36" s="431" t="s">
        <v>124</v>
      </c>
      <c r="D36" s="432"/>
      <c r="E36" s="434"/>
      <c r="F36" s="439"/>
      <c r="G36" s="446">
        <f t="shared" si="2"/>
        <v>0</v>
      </c>
      <c r="H36" s="447">
        <f t="shared" si="3"/>
        <v>0</v>
      </c>
      <c r="K36"/>
      <c r="L36" s="451" t="s">
        <v>620</v>
      </c>
      <c r="M36" s="542"/>
      <c r="N36" s="542"/>
      <c r="O36" s="542"/>
      <c r="P36" s="542"/>
      <c r="Q36" s="542"/>
      <c r="R36" s="542"/>
    </row>
    <row r="37" spans="2:18" s="23" customFormat="1" x14ac:dyDescent="0.2">
      <c r="B37" s="441"/>
      <c r="C37" s="431" t="s">
        <v>125</v>
      </c>
      <c r="D37" s="432"/>
      <c r="E37" s="434"/>
      <c r="F37" s="439"/>
      <c r="G37" s="446">
        <f t="shared" si="2"/>
        <v>0</v>
      </c>
      <c r="H37" s="447">
        <f t="shared" si="3"/>
        <v>0</v>
      </c>
      <c r="K37"/>
      <c r="L37" s="451" t="s">
        <v>621</v>
      </c>
      <c r="M37" s="542"/>
      <c r="N37" s="542"/>
      <c r="O37" s="542"/>
      <c r="P37" s="542"/>
      <c r="Q37" s="542"/>
      <c r="R37" s="542"/>
    </row>
    <row r="38" spans="2:18" s="23" customFormat="1" x14ac:dyDescent="0.2">
      <c r="B38" s="441"/>
      <c r="C38" s="431"/>
      <c r="D38" s="432"/>
      <c r="E38" s="434"/>
      <c r="F38" s="439"/>
      <c r="G38" s="448"/>
      <c r="H38" s="449"/>
      <c r="K38"/>
      <c r="L38" t="s">
        <v>622</v>
      </c>
      <c r="M38" s="540"/>
      <c r="N38" s="540"/>
      <c r="O38" s="540"/>
      <c r="P38" s="540"/>
      <c r="Q38" s="540"/>
      <c r="R38" s="540"/>
    </row>
    <row r="39" spans="2:18" s="23" customFormat="1" x14ac:dyDescent="0.2">
      <c r="B39" s="441" t="s">
        <v>105</v>
      </c>
      <c r="C39" s="431" t="s">
        <v>119</v>
      </c>
      <c r="D39" s="432"/>
      <c r="E39" s="434"/>
      <c r="F39" s="439"/>
      <c r="G39" s="446">
        <f>E39*F39/100</f>
        <v>0</v>
      </c>
      <c r="H39" s="447">
        <f>SUM(D39,E39)</f>
        <v>0</v>
      </c>
      <c r="K39"/>
      <c r="L39" t="s">
        <v>623</v>
      </c>
      <c r="M39" s="540"/>
      <c r="N39" s="540"/>
      <c r="O39" s="540"/>
      <c r="P39" s="540"/>
      <c r="Q39" s="540"/>
      <c r="R39" s="540"/>
    </row>
    <row r="40" spans="2:18" s="23" customFormat="1" x14ac:dyDescent="0.2">
      <c r="B40" s="441"/>
      <c r="C40" s="431" t="s">
        <v>120</v>
      </c>
      <c r="D40" s="432"/>
      <c r="E40" s="434"/>
      <c r="F40" s="439"/>
      <c r="G40" s="446">
        <f t="shared" ref="G40:G45" si="4">E40*F40/100</f>
        <v>0</v>
      </c>
      <c r="H40" s="447">
        <f t="shared" ref="H40:H45" si="5">SUM(D40,E40)</f>
        <v>0</v>
      </c>
      <c r="K40"/>
      <c r="L40" s="450" t="s">
        <v>624</v>
      </c>
      <c r="M40" s="541"/>
      <c r="N40" s="541"/>
      <c r="O40" s="541"/>
      <c r="P40" s="541"/>
      <c r="Q40" s="541"/>
      <c r="R40" s="541"/>
    </row>
    <row r="41" spans="2:18" s="23" customFormat="1" x14ac:dyDescent="0.2">
      <c r="B41" s="441"/>
      <c r="C41" s="431" t="s">
        <v>121</v>
      </c>
      <c r="D41" s="432"/>
      <c r="E41" s="434"/>
      <c r="F41" s="439"/>
      <c r="G41" s="446">
        <f t="shared" si="4"/>
        <v>0</v>
      </c>
      <c r="H41" s="447">
        <f t="shared" si="5"/>
        <v>0</v>
      </c>
      <c r="K41"/>
      <c r="L41" s="450" t="s">
        <v>625</v>
      </c>
      <c r="M41" s="541"/>
      <c r="N41" s="541"/>
      <c r="O41" s="541"/>
      <c r="P41" s="541"/>
      <c r="Q41" s="541"/>
      <c r="R41" s="541"/>
    </row>
    <row r="42" spans="2:18" s="23" customFormat="1" x14ac:dyDescent="0.2">
      <c r="B42" s="441"/>
      <c r="C42" s="431" t="s">
        <v>122</v>
      </c>
      <c r="D42" s="432"/>
      <c r="E42" s="434"/>
      <c r="F42" s="439"/>
      <c r="G42" s="446">
        <f t="shared" si="4"/>
        <v>0</v>
      </c>
      <c r="H42" s="447">
        <f t="shared" si="5"/>
        <v>0</v>
      </c>
      <c r="K42"/>
      <c r="L42" s="450" t="s">
        <v>626</v>
      </c>
      <c r="M42" s="541"/>
      <c r="N42" s="541"/>
      <c r="O42" s="541"/>
      <c r="P42" s="541"/>
      <c r="Q42" s="541"/>
      <c r="R42" s="541"/>
    </row>
    <row r="43" spans="2:18" s="23" customFormat="1" x14ac:dyDescent="0.2">
      <c r="B43" s="441"/>
      <c r="C43" s="431" t="s">
        <v>123</v>
      </c>
      <c r="D43" s="432"/>
      <c r="E43" s="434"/>
      <c r="F43" s="439"/>
      <c r="G43" s="446">
        <f t="shared" si="4"/>
        <v>0</v>
      </c>
      <c r="H43" s="447">
        <f t="shared" si="5"/>
        <v>0</v>
      </c>
    </row>
    <row r="44" spans="2:18" s="23" customFormat="1" x14ac:dyDescent="0.2">
      <c r="B44" s="441"/>
      <c r="C44" s="431" t="s">
        <v>124</v>
      </c>
      <c r="D44" s="432"/>
      <c r="E44" s="434"/>
      <c r="F44" s="439"/>
      <c r="G44" s="446">
        <f t="shared" si="4"/>
        <v>0</v>
      </c>
      <c r="H44" s="447">
        <f t="shared" si="5"/>
        <v>0</v>
      </c>
      <c r="L44" s="431" t="s">
        <v>121</v>
      </c>
      <c r="M44" s="346">
        <f>SUM(M34:M35)</f>
        <v>0</v>
      </c>
      <c r="N44" s="23">
        <f>IF(SUM(M34:M35)=0,0,SQRT(SUMSQ(M34*N34,M35*N35))/SUM(M34:M35))</f>
        <v>0</v>
      </c>
      <c r="O44" s="346">
        <f>SUM(O34:O35)</f>
        <v>0</v>
      </c>
      <c r="P44" s="23">
        <f>IF(SUM(O34:O35)=0,0,SQRT(SUMSQ(O34*P34,O35*P35))/SUM(O34:O35))</f>
        <v>0</v>
      </c>
      <c r="Q44" s="346">
        <f>SUM(Q34:Q35)</f>
        <v>0</v>
      </c>
      <c r="R44" s="23">
        <f>IF(SUM(Q34:Q35)=0,0,SQRT(SUMSQ(Q34*R34,Q35*R35))/SUM(Q34:Q35))</f>
        <v>0</v>
      </c>
    </row>
    <row r="45" spans="2:18" s="23" customFormat="1" x14ac:dyDescent="0.2">
      <c r="B45" s="441"/>
      <c r="C45" s="431" t="s">
        <v>125</v>
      </c>
      <c r="D45" s="432"/>
      <c r="E45" s="434"/>
      <c r="F45" s="439"/>
      <c r="G45" s="446">
        <f t="shared" si="4"/>
        <v>0</v>
      </c>
      <c r="H45" s="447">
        <f t="shared" si="5"/>
        <v>0</v>
      </c>
      <c r="L45" s="431" t="s">
        <v>122</v>
      </c>
      <c r="M45" s="346">
        <f>SUM(M36:M37)</f>
        <v>0</v>
      </c>
      <c r="N45" s="23">
        <f>IF(SUM(M36:M37)=0,0,SQRT(SUMSQ(M36*N36,M37*N37))/SUM(M36:M37))</f>
        <v>0</v>
      </c>
      <c r="O45" s="346">
        <f>SUM(O36:O37)</f>
        <v>0</v>
      </c>
      <c r="P45" s="23">
        <f>IF(SUM(O36:O37)=0,0,SQRT(SUMSQ(O36*P36,O37*P37))/SUM(O36:O37))</f>
        <v>0</v>
      </c>
      <c r="Q45" s="346">
        <f>SUM(Q36:Q37)</f>
        <v>0</v>
      </c>
      <c r="R45" s="23">
        <f>IF(SUM(Q36:Q37)=0,0,SQRT(SUMSQ(Q36*R36,Q37*R37))/SUM(Q36:Q37))</f>
        <v>0</v>
      </c>
    </row>
    <row r="46" spans="2:18" s="23" customFormat="1" x14ac:dyDescent="0.2">
      <c r="B46" s="441"/>
      <c r="C46" s="431"/>
      <c r="D46" s="432"/>
      <c r="E46" s="434"/>
      <c r="F46" s="439"/>
      <c r="G46" s="448"/>
      <c r="H46" s="449"/>
      <c r="L46" s="431" t="s">
        <v>125</v>
      </c>
      <c r="M46" s="346">
        <f>SUM(M40:M42)</f>
        <v>0</v>
      </c>
      <c r="N46" s="23">
        <f>IF(SUM(M40:M42)=0,0,SQRT(SUMSQ(M40*N40,M41*N41,M42*N42))/SUM(M40:M42))</f>
        <v>0</v>
      </c>
      <c r="O46" s="346">
        <f>SUM(O40:O42)</f>
        <v>0</v>
      </c>
      <c r="P46" s="23">
        <f>IF(SUM(O40:O42)=0,0,SQRT(SUMSQ(O40*P40,O41*P41,O42*P42))/SUM(O40:O42))</f>
        <v>0</v>
      </c>
      <c r="Q46" s="346">
        <f>SUM(Q40:Q42)</f>
        <v>0</v>
      </c>
      <c r="R46" s="23">
        <f>IF(SUM(Q40:Q42)=0,0,SQRT(SUMSQ(Q40*R40,Q41*R41,Q42*R42))/SUM(Q40:Q42))</f>
        <v>0</v>
      </c>
    </row>
    <row r="47" spans="2:18" s="23" customFormat="1" x14ac:dyDescent="0.2">
      <c r="B47" s="441" t="s">
        <v>106</v>
      </c>
      <c r="C47" s="431" t="s">
        <v>119</v>
      </c>
      <c r="D47" s="432"/>
      <c r="E47" s="434"/>
      <c r="F47" s="439"/>
      <c r="G47" s="446">
        <f>E47*F47/100</f>
        <v>0</v>
      </c>
      <c r="H47" s="447">
        <f>SUM(D47,E47)</f>
        <v>0</v>
      </c>
    </row>
    <row r="48" spans="2:18" s="23" customFormat="1" x14ac:dyDescent="0.2">
      <c r="B48" s="441"/>
      <c r="C48" s="431" t="s">
        <v>120</v>
      </c>
      <c r="D48" s="432"/>
      <c r="E48" s="434"/>
      <c r="F48" s="439"/>
      <c r="G48" s="446">
        <f t="shared" ref="G48:G53" si="6">E48*F48/100</f>
        <v>0</v>
      </c>
      <c r="H48" s="447">
        <f t="shared" ref="H48:H53" si="7">SUM(D48,E48)</f>
        <v>0</v>
      </c>
    </row>
    <row r="49" spans="2:8" s="23" customFormat="1" x14ac:dyDescent="0.2">
      <c r="B49" s="441"/>
      <c r="C49" s="431" t="s">
        <v>121</v>
      </c>
      <c r="D49" s="432"/>
      <c r="E49" s="434"/>
      <c r="F49" s="439"/>
      <c r="G49" s="446">
        <f t="shared" si="6"/>
        <v>0</v>
      </c>
      <c r="H49" s="447">
        <f t="shared" si="7"/>
        <v>0</v>
      </c>
    </row>
    <row r="50" spans="2:8" s="23" customFormat="1" x14ac:dyDescent="0.2">
      <c r="B50" s="441"/>
      <c r="C50" s="431" t="s">
        <v>122</v>
      </c>
      <c r="D50" s="432"/>
      <c r="E50" s="434"/>
      <c r="F50" s="439"/>
      <c r="G50" s="446">
        <f t="shared" si="6"/>
        <v>0</v>
      </c>
      <c r="H50" s="447">
        <f t="shared" si="7"/>
        <v>0</v>
      </c>
    </row>
    <row r="51" spans="2:8" s="23" customFormat="1" x14ac:dyDescent="0.2">
      <c r="B51" s="441"/>
      <c r="C51" s="431" t="s">
        <v>123</v>
      </c>
      <c r="D51" s="432"/>
      <c r="E51" s="434"/>
      <c r="F51" s="439"/>
      <c r="G51" s="446">
        <f t="shared" si="6"/>
        <v>0</v>
      </c>
      <c r="H51" s="447">
        <f t="shared" si="7"/>
        <v>0</v>
      </c>
    </row>
    <row r="52" spans="2:8" s="23" customFormat="1" x14ac:dyDescent="0.2">
      <c r="B52" s="441"/>
      <c r="C52" s="431" t="s">
        <v>124</v>
      </c>
      <c r="D52" s="432"/>
      <c r="E52" s="434"/>
      <c r="F52" s="439"/>
      <c r="G52" s="446">
        <f t="shared" si="6"/>
        <v>0</v>
      </c>
      <c r="H52" s="447">
        <f t="shared" si="7"/>
        <v>0</v>
      </c>
    </row>
    <row r="53" spans="2:8" s="23" customFormat="1" ht="13.5" thickBot="1" x14ac:dyDescent="0.25">
      <c r="B53" s="297"/>
      <c r="C53" s="437" t="s">
        <v>125</v>
      </c>
      <c r="D53" s="440"/>
      <c r="E53" s="440"/>
      <c r="F53" s="438"/>
      <c r="G53" s="336">
        <f t="shared" si="6"/>
        <v>0</v>
      </c>
      <c r="H53" s="344">
        <f t="shared" si="7"/>
        <v>0</v>
      </c>
    </row>
    <row r="54" spans="2:8" s="23" customFormat="1" x14ac:dyDescent="0.2">
      <c r="C54" s="24"/>
      <c r="D54" s="276"/>
      <c r="E54" s="276"/>
      <c r="F54" s="24"/>
      <c r="G54" s="24"/>
    </row>
    <row r="55" spans="2:8" s="23" customFormat="1" x14ac:dyDescent="0.2"/>
    <row r="56" spans="2:8" s="23" customFormat="1" x14ac:dyDescent="0.2">
      <c r="B56" s="992" t="s">
        <v>711</v>
      </c>
      <c r="C56" s="993"/>
      <c r="D56" s="993"/>
      <c r="E56" s="993"/>
      <c r="F56" s="993"/>
      <c r="G56" s="993"/>
      <c r="H56" s="993"/>
    </row>
    <row r="57" spans="2:8" s="23" customFormat="1" ht="25.5" x14ac:dyDescent="0.2">
      <c r="B57" s="286"/>
      <c r="C57" s="539" t="s">
        <v>710</v>
      </c>
      <c r="D57" s="445" t="s">
        <v>78</v>
      </c>
      <c r="E57" s="445" t="s">
        <v>309</v>
      </c>
      <c r="F57" s="445" t="s">
        <v>82</v>
      </c>
      <c r="G57" s="445" t="s">
        <v>310</v>
      </c>
      <c r="H57" s="445" t="s">
        <v>486</v>
      </c>
    </row>
    <row r="58" spans="2:8" s="23" customFormat="1" x14ac:dyDescent="0.2">
      <c r="B58" s="441" t="s">
        <v>92</v>
      </c>
      <c r="C58" s="431" t="s">
        <v>127</v>
      </c>
      <c r="D58" s="432"/>
      <c r="E58" s="434"/>
      <c r="F58" s="439"/>
      <c r="G58" s="446">
        <f>E58*F58/100</f>
        <v>0</v>
      </c>
      <c r="H58" s="447">
        <f t="shared" ref="H58:H86" si="8">SUM(D58,E58)</f>
        <v>0</v>
      </c>
    </row>
    <row r="59" spans="2:8" s="23" customFormat="1" x14ac:dyDescent="0.2">
      <c r="B59" s="441"/>
      <c r="C59" s="431" t="s">
        <v>128</v>
      </c>
      <c r="D59" s="432"/>
      <c r="E59" s="434"/>
      <c r="F59" s="439"/>
      <c r="G59" s="446">
        <f t="shared" ref="G59:G66" si="9">E59*F59/100</f>
        <v>0</v>
      </c>
      <c r="H59" s="447">
        <f t="shared" si="8"/>
        <v>0</v>
      </c>
    </row>
    <row r="60" spans="2:8" s="23" customFormat="1" x14ac:dyDescent="0.2">
      <c r="B60" s="441"/>
      <c r="C60" s="431" t="s">
        <v>129</v>
      </c>
      <c r="D60" s="432"/>
      <c r="E60" s="434"/>
      <c r="F60" s="439"/>
      <c r="G60" s="446">
        <f t="shared" si="9"/>
        <v>0</v>
      </c>
      <c r="H60" s="447">
        <f t="shared" si="8"/>
        <v>0</v>
      </c>
    </row>
    <row r="61" spans="2:8" s="23" customFormat="1" x14ac:dyDescent="0.2">
      <c r="B61" s="441"/>
      <c r="C61" s="431" t="s">
        <v>130</v>
      </c>
      <c r="D61" s="432"/>
      <c r="E61" s="434"/>
      <c r="F61" s="439"/>
      <c r="G61" s="446">
        <f t="shared" si="9"/>
        <v>0</v>
      </c>
      <c r="H61" s="447">
        <f t="shared" si="8"/>
        <v>0</v>
      </c>
    </row>
    <row r="62" spans="2:8" s="23" customFormat="1" x14ac:dyDescent="0.2">
      <c r="B62" s="441"/>
      <c r="C62" s="431" t="s">
        <v>131</v>
      </c>
      <c r="D62" s="432"/>
      <c r="E62" s="434"/>
      <c r="F62" s="439"/>
      <c r="G62" s="446">
        <f t="shared" si="9"/>
        <v>0</v>
      </c>
      <c r="H62" s="447">
        <f t="shared" si="8"/>
        <v>0</v>
      </c>
    </row>
    <row r="63" spans="2:8" s="23" customFormat="1" x14ac:dyDescent="0.2">
      <c r="B63" s="441"/>
      <c r="C63" s="431" t="s">
        <v>132</v>
      </c>
      <c r="D63" s="432"/>
      <c r="E63" s="434"/>
      <c r="F63" s="439"/>
      <c r="G63" s="446">
        <f t="shared" si="9"/>
        <v>0</v>
      </c>
      <c r="H63" s="447">
        <f t="shared" si="8"/>
        <v>0</v>
      </c>
    </row>
    <row r="64" spans="2:8" s="23" customFormat="1" x14ac:dyDescent="0.2">
      <c r="B64" s="441"/>
      <c r="C64" s="431" t="s">
        <v>133</v>
      </c>
      <c r="D64" s="432"/>
      <c r="E64" s="434"/>
      <c r="F64" s="439"/>
      <c r="G64" s="446">
        <f t="shared" si="9"/>
        <v>0</v>
      </c>
      <c r="H64" s="447">
        <f t="shared" si="8"/>
        <v>0</v>
      </c>
    </row>
    <row r="65" spans="2:8" s="23" customFormat="1" x14ac:dyDescent="0.2">
      <c r="B65" s="441"/>
      <c r="C65" s="431" t="s">
        <v>134</v>
      </c>
      <c r="D65" s="432"/>
      <c r="E65" s="434"/>
      <c r="F65" s="439"/>
      <c r="G65" s="446">
        <f t="shared" si="9"/>
        <v>0</v>
      </c>
      <c r="H65" s="447">
        <f t="shared" si="8"/>
        <v>0</v>
      </c>
    </row>
    <row r="66" spans="2:8" s="23" customFormat="1" x14ac:dyDescent="0.2">
      <c r="B66" s="441"/>
      <c r="C66" s="431" t="s">
        <v>135</v>
      </c>
      <c r="D66" s="432"/>
      <c r="E66" s="434"/>
      <c r="F66" s="439"/>
      <c r="G66" s="446">
        <f t="shared" si="9"/>
        <v>0</v>
      </c>
      <c r="H66" s="447">
        <f t="shared" si="8"/>
        <v>0</v>
      </c>
    </row>
    <row r="67" spans="2:8" s="23" customFormat="1" x14ac:dyDescent="0.2">
      <c r="B67" s="441"/>
      <c r="C67" s="431"/>
      <c r="D67" s="432"/>
      <c r="E67" s="434"/>
      <c r="F67" s="439"/>
      <c r="G67" s="434"/>
      <c r="H67" s="443"/>
    </row>
    <row r="68" spans="2:8" s="23" customFormat="1" x14ac:dyDescent="0.2">
      <c r="B68" s="441" t="s">
        <v>105</v>
      </c>
      <c r="C68" s="431" t="s">
        <v>127</v>
      </c>
      <c r="D68" s="432"/>
      <c r="E68" s="434"/>
      <c r="F68" s="439"/>
      <c r="G68" s="446">
        <f t="shared" ref="G68:G76" si="10">E68*F68/100</f>
        <v>0</v>
      </c>
      <c r="H68" s="447">
        <f t="shared" si="8"/>
        <v>0</v>
      </c>
    </row>
    <row r="69" spans="2:8" s="23" customFormat="1" x14ac:dyDescent="0.2">
      <c r="B69" s="441"/>
      <c r="C69" s="431" t="s">
        <v>128</v>
      </c>
      <c r="D69" s="432"/>
      <c r="E69" s="434"/>
      <c r="F69" s="439"/>
      <c r="G69" s="446">
        <f t="shared" si="10"/>
        <v>0</v>
      </c>
      <c r="H69" s="447">
        <f t="shared" si="8"/>
        <v>0</v>
      </c>
    </row>
    <row r="70" spans="2:8" s="23" customFormat="1" x14ac:dyDescent="0.2">
      <c r="B70" s="441"/>
      <c r="C70" s="431" t="s">
        <v>129</v>
      </c>
      <c r="D70" s="432"/>
      <c r="E70" s="434"/>
      <c r="F70" s="439"/>
      <c r="G70" s="446">
        <f t="shared" si="10"/>
        <v>0</v>
      </c>
      <c r="H70" s="447">
        <f t="shared" si="8"/>
        <v>0</v>
      </c>
    </row>
    <row r="71" spans="2:8" s="23" customFormat="1" x14ac:dyDescent="0.2">
      <c r="B71" s="441"/>
      <c r="C71" s="431" t="s">
        <v>130</v>
      </c>
      <c r="D71" s="432"/>
      <c r="E71" s="434"/>
      <c r="F71" s="439"/>
      <c r="G71" s="446">
        <f t="shared" si="10"/>
        <v>0</v>
      </c>
      <c r="H71" s="447">
        <f t="shared" si="8"/>
        <v>0</v>
      </c>
    </row>
    <row r="72" spans="2:8" s="23" customFormat="1" x14ac:dyDescent="0.2">
      <c r="B72" s="441"/>
      <c r="C72" s="431" t="s">
        <v>131</v>
      </c>
      <c r="D72" s="432"/>
      <c r="E72" s="434"/>
      <c r="F72" s="439"/>
      <c r="G72" s="446">
        <f t="shared" si="10"/>
        <v>0</v>
      </c>
      <c r="H72" s="447">
        <f t="shared" si="8"/>
        <v>0</v>
      </c>
    </row>
    <row r="73" spans="2:8" s="23" customFormat="1" x14ac:dyDescent="0.2">
      <c r="B73" s="441"/>
      <c r="C73" s="431" t="s">
        <v>132</v>
      </c>
      <c r="D73" s="432"/>
      <c r="E73" s="434"/>
      <c r="F73" s="439"/>
      <c r="G73" s="446">
        <f t="shared" si="10"/>
        <v>0</v>
      </c>
      <c r="H73" s="447">
        <f t="shared" si="8"/>
        <v>0</v>
      </c>
    </row>
    <row r="74" spans="2:8" s="23" customFormat="1" x14ac:dyDescent="0.2">
      <c r="B74" s="441"/>
      <c r="C74" s="431" t="s">
        <v>133</v>
      </c>
      <c r="D74" s="432"/>
      <c r="E74" s="434"/>
      <c r="F74" s="439"/>
      <c r="G74" s="446">
        <f t="shared" si="10"/>
        <v>0</v>
      </c>
      <c r="H74" s="447">
        <f t="shared" si="8"/>
        <v>0</v>
      </c>
    </row>
    <row r="75" spans="2:8" s="23" customFormat="1" x14ac:dyDescent="0.2">
      <c r="B75" s="441"/>
      <c r="C75" s="431" t="s">
        <v>134</v>
      </c>
      <c r="D75" s="432"/>
      <c r="E75" s="434"/>
      <c r="F75" s="439"/>
      <c r="G75" s="446">
        <f t="shared" si="10"/>
        <v>0</v>
      </c>
      <c r="H75" s="447">
        <f t="shared" si="8"/>
        <v>0</v>
      </c>
    </row>
    <row r="76" spans="2:8" s="23" customFormat="1" x14ac:dyDescent="0.2">
      <c r="B76" s="441"/>
      <c r="C76" s="431" t="s">
        <v>135</v>
      </c>
      <c r="D76" s="432"/>
      <c r="E76" s="434"/>
      <c r="F76" s="439"/>
      <c r="G76" s="446">
        <f t="shared" si="10"/>
        <v>0</v>
      </c>
      <c r="H76" s="447">
        <f t="shared" si="8"/>
        <v>0</v>
      </c>
    </row>
    <row r="77" spans="2:8" s="23" customFormat="1" x14ac:dyDescent="0.2">
      <c r="B77" s="441"/>
      <c r="C77" s="431"/>
      <c r="D77" s="432"/>
      <c r="E77" s="434"/>
      <c r="F77" s="439"/>
      <c r="G77" s="434"/>
      <c r="H77" s="443"/>
    </row>
    <row r="78" spans="2:8" s="23" customFormat="1" x14ac:dyDescent="0.2">
      <c r="B78" s="441" t="s">
        <v>106</v>
      </c>
      <c r="C78" s="431" t="s">
        <v>127</v>
      </c>
      <c r="D78" s="432"/>
      <c r="E78" s="434"/>
      <c r="F78" s="439"/>
      <c r="G78" s="446">
        <f t="shared" ref="G78:G86" si="11">E78*F78/100</f>
        <v>0</v>
      </c>
      <c r="H78" s="447">
        <f t="shared" si="8"/>
        <v>0</v>
      </c>
    </row>
    <row r="79" spans="2:8" s="23" customFormat="1" x14ac:dyDescent="0.2">
      <c r="B79" s="441"/>
      <c r="C79" s="431" t="s">
        <v>128</v>
      </c>
      <c r="D79" s="432"/>
      <c r="E79" s="434"/>
      <c r="F79" s="439"/>
      <c r="G79" s="446">
        <f t="shared" si="11"/>
        <v>0</v>
      </c>
      <c r="H79" s="447">
        <f t="shared" si="8"/>
        <v>0</v>
      </c>
    </row>
    <row r="80" spans="2:8" s="23" customFormat="1" x14ac:dyDescent="0.2">
      <c r="B80" s="441"/>
      <c r="C80" s="431" t="s">
        <v>129</v>
      </c>
      <c r="D80" s="432"/>
      <c r="E80" s="434"/>
      <c r="F80" s="439"/>
      <c r="G80" s="446">
        <f t="shared" si="11"/>
        <v>0</v>
      </c>
      <c r="H80" s="447">
        <f t="shared" si="8"/>
        <v>0</v>
      </c>
    </row>
    <row r="81" spans="2:8" s="23" customFormat="1" x14ac:dyDescent="0.2">
      <c r="B81" s="441"/>
      <c r="C81" s="431" t="s">
        <v>130</v>
      </c>
      <c r="D81" s="432"/>
      <c r="E81" s="434"/>
      <c r="F81" s="439"/>
      <c r="G81" s="446">
        <f t="shared" si="11"/>
        <v>0</v>
      </c>
      <c r="H81" s="447">
        <f t="shared" si="8"/>
        <v>0</v>
      </c>
    </row>
    <row r="82" spans="2:8" s="23" customFormat="1" x14ac:dyDescent="0.2">
      <c r="B82" s="441"/>
      <c r="C82" s="431" t="s">
        <v>131</v>
      </c>
      <c r="D82" s="432"/>
      <c r="E82" s="434"/>
      <c r="F82" s="439"/>
      <c r="G82" s="446">
        <f t="shared" si="11"/>
        <v>0</v>
      </c>
      <c r="H82" s="447">
        <f t="shared" si="8"/>
        <v>0</v>
      </c>
    </row>
    <row r="83" spans="2:8" s="23" customFormat="1" x14ac:dyDescent="0.2">
      <c r="B83" s="441"/>
      <c r="C83" s="431" t="s">
        <v>132</v>
      </c>
      <c r="D83" s="432"/>
      <c r="E83" s="434"/>
      <c r="F83" s="439"/>
      <c r="G83" s="446">
        <f t="shared" si="11"/>
        <v>0</v>
      </c>
      <c r="H83" s="447">
        <f t="shared" si="8"/>
        <v>0</v>
      </c>
    </row>
    <row r="84" spans="2:8" s="23" customFormat="1" x14ac:dyDescent="0.2">
      <c r="B84" s="441"/>
      <c r="C84" s="431" t="s">
        <v>133</v>
      </c>
      <c r="D84" s="432"/>
      <c r="E84" s="434"/>
      <c r="F84" s="439"/>
      <c r="G84" s="446">
        <f t="shared" si="11"/>
        <v>0</v>
      </c>
      <c r="H84" s="447">
        <f t="shared" si="8"/>
        <v>0</v>
      </c>
    </row>
    <row r="85" spans="2:8" s="23" customFormat="1" x14ac:dyDescent="0.2">
      <c r="B85" s="441"/>
      <c r="C85" s="431" t="s">
        <v>134</v>
      </c>
      <c r="D85" s="432"/>
      <c r="E85" s="434"/>
      <c r="F85" s="439"/>
      <c r="G85" s="446">
        <f t="shared" si="11"/>
        <v>0</v>
      </c>
      <c r="H85" s="447">
        <f t="shared" si="8"/>
        <v>0</v>
      </c>
    </row>
    <row r="86" spans="2:8" ht="13.5" thickBot="1" x14ac:dyDescent="0.25">
      <c r="B86" s="297"/>
      <c r="C86" s="437" t="s">
        <v>135</v>
      </c>
      <c r="D86" s="440"/>
      <c r="E86" s="440"/>
      <c r="F86" s="438"/>
      <c r="G86" s="336">
        <f t="shared" si="11"/>
        <v>0</v>
      </c>
      <c r="H86" s="344">
        <f t="shared" si="8"/>
        <v>0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3">
    <mergeCell ref="B3:H3"/>
    <mergeCell ref="B29:H29"/>
    <mergeCell ref="B56:H56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5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186</v>
      </c>
      <c r="C3" t="s">
        <v>438</v>
      </c>
    </row>
    <row r="5" spans="2:6" ht="15" customHeight="1" x14ac:dyDescent="0.2">
      <c r="B5" s="1079" t="s">
        <v>77</v>
      </c>
      <c r="C5" s="174" t="s">
        <v>78</v>
      </c>
      <c r="D5" s="1075" t="s">
        <v>79</v>
      </c>
      <c r="E5" s="1075"/>
      <c r="F5" s="216" t="s">
        <v>80</v>
      </c>
    </row>
    <row r="6" spans="2:6" ht="30" customHeight="1" x14ac:dyDescent="0.2">
      <c r="B6" s="1080"/>
      <c r="C6" s="180" t="s">
        <v>153</v>
      </c>
      <c r="D6" s="180" t="s">
        <v>153</v>
      </c>
      <c r="E6" s="217" t="s">
        <v>82</v>
      </c>
      <c r="F6" s="218" t="s">
        <v>153</v>
      </c>
    </row>
    <row r="7" spans="2:6" ht="15" customHeight="1" x14ac:dyDescent="0.2">
      <c r="B7" s="203" t="s">
        <v>83</v>
      </c>
      <c r="C7" s="204"/>
      <c r="D7" s="204"/>
      <c r="E7" s="4"/>
      <c r="F7" s="204"/>
    </row>
    <row r="8" spans="2:6" ht="15" customHeight="1" x14ac:dyDescent="0.2">
      <c r="B8" s="161" t="s">
        <v>84</v>
      </c>
      <c r="C8" s="857">
        <f>'Section 5 data'!$D$8</f>
        <v>5994.15</v>
      </c>
      <c r="D8" s="858">
        <f>'Section 5 data'!$E$8</f>
        <v>6687.0749999999998</v>
      </c>
      <c r="E8" s="214">
        <f>'Section 5 data'!$F$8</f>
        <v>7.8114566648647683</v>
      </c>
      <c r="F8" s="852">
        <f>SUM(C8,D8)</f>
        <v>12681.224999999999</v>
      </c>
    </row>
    <row r="9" spans="2:6" ht="15" customHeight="1" x14ac:dyDescent="0.2">
      <c r="B9" s="161" t="s">
        <v>85</v>
      </c>
      <c r="C9" s="857">
        <f>'Section 5 data'!$D$9</f>
        <v>2730.0619999999999</v>
      </c>
      <c r="D9" s="858">
        <f>'Section 5 data'!$E$9</f>
        <v>10078.215</v>
      </c>
      <c r="E9" s="214">
        <f>'Section 5 data'!$F$9</f>
        <v>5.1451447042610496</v>
      </c>
      <c r="F9" s="852">
        <f t="shared" ref="F9:F16" si="0">SUM(C9,D9)</f>
        <v>12808.277</v>
      </c>
    </row>
    <row r="10" spans="2:6" ht="15" customHeight="1" x14ac:dyDescent="0.2">
      <c r="B10" s="161" t="s">
        <v>86</v>
      </c>
      <c r="C10" s="857">
        <f>'Section 5 data'!$D$10</f>
        <v>3298.232</v>
      </c>
      <c r="D10" s="858">
        <f>'Section 5 data'!$E$10</f>
        <v>2724.9870000000001</v>
      </c>
      <c r="E10" s="214">
        <f>'Section 5 data'!$F$10</f>
        <v>9.4619460408965228</v>
      </c>
      <c r="F10" s="852">
        <f t="shared" si="0"/>
        <v>6023.2190000000001</v>
      </c>
    </row>
    <row r="11" spans="2:6" ht="15" customHeight="1" x14ac:dyDescent="0.2">
      <c r="B11" s="161" t="s">
        <v>87</v>
      </c>
      <c r="C11" s="857">
        <f>'Section 5 data'!$D$11</f>
        <v>926.04</v>
      </c>
      <c r="D11" s="858">
        <f>'Section 5 data'!$E$11</f>
        <v>3658.0680000000002</v>
      </c>
      <c r="E11" s="214">
        <f>'Section 5 data'!$F$11</f>
        <v>7.659064745324951</v>
      </c>
      <c r="F11" s="852">
        <f t="shared" si="0"/>
        <v>4584.1080000000002</v>
      </c>
    </row>
    <row r="12" spans="2:6" ht="15" customHeight="1" x14ac:dyDescent="0.2">
      <c r="B12" s="161" t="s">
        <v>88</v>
      </c>
      <c r="C12" s="857">
        <f>'Section 5 data'!$D$12</f>
        <v>1105.135</v>
      </c>
      <c r="D12" s="858">
        <f>'Section 5 data'!$E$12</f>
        <v>6315.14</v>
      </c>
      <c r="E12" s="214">
        <f>'Section 5 data'!$F$12</f>
        <v>5.7243755250813493</v>
      </c>
      <c r="F12" s="852">
        <f t="shared" si="0"/>
        <v>7420.2750000000005</v>
      </c>
    </row>
    <row r="13" spans="2:6" ht="15" customHeight="1" x14ac:dyDescent="0.2">
      <c r="B13" s="161" t="s">
        <v>89</v>
      </c>
      <c r="C13" s="857">
        <f>'Section 5 data'!$D$13</f>
        <v>1787.097</v>
      </c>
      <c r="D13" s="858">
        <f>'Section 5 data'!$E$13</f>
        <v>4071.076</v>
      </c>
      <c r="E13" s="214">
        <f>'Section 5 data'!$F$13</f>
        <v>9.4673806737191839</v>
      </c>
      <c r="F13" s="852">
        <f t="shared" si="0"/>
        <v>5858.1729999999998</v>
      </c>
    </row>
    <row r="14" spans="2:6" ht="15" customHeight="1" x14ac:dyDescent="0.2">
      <c r="B14" s="161" t="s">
        <v>90</v>
      </c>
      <c r="C14" s="857">
        <f>'Section 5 data'!$D$14</f>
        <v>610.27599999999995</v>
      </c>
      <c r="D14" s="858">
        <f>'Section 5 data'!$E$14</f>
        <v>708.91899999999998</v>
      </c>
      <c r="E14" s="214">
        <f>'Section 5 data'!$F$14</f>
        <v>20.780009745405206</v>
      </c>
      <c r="F14" s="852">
        <f t="shared" si="0"/>
        <v>1319.1949999999999</v>
      </c>
    </row>
    <row r="15" spans="2:6" ht="15" customHeight="1" x14ac:dyDescent="0.2">
      <c r="B15" s="161" t="s">
        <v>91</v>
      </c>
      <c r="C15" s="857">
        <f>'Section 5 data'!$D$15</f>
        <v>843.41800000000001</v>
      </c>
      <c r="D15" s="858">
        <f>'Section 5 data'!$E$15</f>
        <v>4089.6959999999999</v>
      </c>
      <c r="E15" s="214">
        <f>'Section 5 data'!$F$15</f>
        <v>9.2972040132335323</v>
      </c>
      <c r="F15" s="852">
        <f t="shared" si="0"/>
        <v>4933.1139999999996</v>
      </c>
    </row>
    <row r="16" spans="2:6" ht="15" customHeight="1" x14ac:dyDescent="0.2">
      <c r="B16" s="158" t="s">
        <v>92</v>
      </c>
      <c r="C16" s="215">
        <f>'Section 5 data'!$D$6</f>
        <v>17294.406999999999</v>
      </c>
      <c r="D16" s="859">
        <f>'Section 5 data'!$E$6</f>
        <v>38364.232000000004</v>
      </c>
      <c r="E16" s="912">
        <f>'Section 5 data'!$F$6</f>
        <v>2.3163705870022167</v>
      </c>
      <c r="F16" s="860">
        <f t="shared" si="0"/>
        <v>55658.639000000003</v>
      </c>
    </row>
    <row r="17" spans="2:6" ht="15" customHeight="1" x14ac:dyDescent="0.2">
      <c r="B17" s="203" t="s">
        <v>93</v>
      </c>
      <c r="C17" s="861"/>
      <c r="D17" s="861"/>
      <c r="E17" s="913"/>
      <c r="F17" s="861"/>
    </row>
    <row r="18" spans="2:6" ht="15" customHeight="1" x14ac:dyDescent="0.2">
      <c r="B18" s="161" t="s">
        <v>94</v>
      </c>
      <c r="C18" s="857">
        <f>'Section 5 data'!$D$16</f>
        <v>3034.5680000000002</v>
      </c>
      <c r="D18" s="858">
        <f>'Section 5 data'!$E$16</f>
        <v>42837.58</v>
      </c>
      <c r="E18" s="214">
        <f>'Section 5 data'!$F$16</f>
        <v>3.3255831429908338</v>
      </c>
      <c r="F18" s="852">
        <f t="shared" ref="F18:F29" si="1">SUM(C18,D18)</f>
        <v>45872.148000000001</v>
      </c>
    </row>
    <row r="19" spans="2:6" ht="15" customHeight="1" x14ac:dyDescent="0.2">
      <c r="B19" s="161" t="s">
        <v>95</v>
      </c>
      <c r="C19" s="857">
        <f>'Section 5 data'!$D$17</f>
        <v>2615.3220000000001</v>
      </c>
      <c r="D19" s="858">
        <f>'Section 5 data'!$E$17</f>
        <v>16108.285</v>
      </c>
      <c r="E19" s="214">
        <f>'Section 5 data'!$F$17</f>
        <v>6.1142578771131735</v>
      </c>
      <c r="F19" s="852">
        <f t="shared" si="1"/>
        <v>18723.607</v>
      </c>
    </row>
    <row r="20" spans="2:6" ht="15" customHeight="1" x14ac:dyDescent="0.2">
      <c r="B20" s="161" t="s">
        <v>96</v>
      </c>
      <c r="C20" s="857">
        <f>'Section 5 data'!$D$18</f>
        <v>137.68</v>
      </c>
      <c r="D20" s="858">
        <f>'Section 5 data'!$E$18</f>
        <v>13442.67</v>
      </c>
      <c r="E20" s="214">
        <f>'Section 5 data'!$F$18</f>
        <v>5.6951510708938997</v>
      </c>
      <c r="F20" s="852">
        <f t="shared" si="1"/>
        <v>13580.35</v>
      </c>
    </row>
    <row r="21" spans="2:6" ht="15" customHeight="1" x14ac:dyDescent="0.2">
      <c r="B21" s="161" t="s">
        <v>97</v>
      </c>
      <c r="C21" s="857">
        <f>'Section 5 data'!$D$19</f>
        <v>388.55399999999997</v>
      </c>
      <c r="D21" s="858">
        <f>'Section 5 data'!$E$19</f>
        <v>24165.185000000001</v>
      </c>
      <c r="E21" s="214">
        <f>'Section 5 data'!$F$19</f>
        <v>3.8964388337870215</v>
      </c>
      <c r="F21" s="852">
        <f t="shared" si="1"/>
        <v>24553.739000000001</v>
      </c>
    </row>
    <row r="22" spans="2:6" ht="15" customHeight="1" x14ac:dyDescent="0.2">
      <c r="B22" s="161" t="s">
        <v>98</v>
      </c>
      <c r="C22" s="857">
        <f>'Section 5 data'!$D$20</f>
        <v>502.37799999999999</v>
      </c>
      <c r="D22" s="858">
        <f>'Section 5 data'!$E$20</f>
        <v>10675.868</v>
      </c>
      <c r="E22" s="214">
        <f>'Section 5 data'!$F$20</f>
        <v>4.1490159470814598</v>
      </c>
      <c r="F22" s="852">
        <f t="shared" si="1"/>
        <v>11178.246000000001</v>
      </c>
    </row>
    <row r="23" spans="2:6" ht="15" customHeight="1" x14ac:dyDescent="0.2">
      <c r="B23" s="161" t="s">
        <v>99</v>
      </c>
      <c r="C23" s="857">
        <f>'Section 5 data'!$D$21</f>
        <v>106.78</v>
      </c>
      <c r="D23" s="858">
        <f>'Section 5 data'!$E$21</f>
        <v>6165.6719999999996</v>
      </c>
      <c r="E23" s="214">
        <f>'Section 5 data'!$F$21</f>
        <v>8.4046409211804392</v>
      </c>
      <c r="F23" s="852">
        <f t="shared" si="1"/>
        <v>6272.4519999999993</v>
      </c>
    </row>
    <row r="24" spans="2:6" ht="15" customHeight="1" x14ac:dyDescent="0.2">
      <c r="B24" s="161" t="s">
        <v>100</v>
      </c>
      <c r="C24" s="857">
        <f>'Section 5 data'!$D$22</f>
        <v>43.822000000000003</v>
      </c>
      <c r="D24" s="858">
        <f>'Section 5 data'!$E$22</f>
        <v>4642.3919999999998</v>
      </c>
      <c r="E24" s="214">
        <f>'Section 5 data'!$F$22</f>
        <v>5.0667037873191365</v>
      </c>
      <c r="F24" s="852">
        <f t="shared" si="1"/>
        <v>4686.2139999999999</v>
      </c>
    </row>
    <row r="25" spans="2:6" ht="15" customHeight="1" x14ac:dyDescent="0.2">
      <c r="B25" s="161" t="s">
        <v>101</v>
      </c>
      <c r="C25" s="857">
        <f>'Section 5 data'!$D$23</f>
        <v>0.13</v>
      </c>
      <c r="D25" s="858">
        <f>'Section 5 data'!$E$23</f>
        <v>3208.239</v>
      </c>
      <c r="E25" s="214">
        <f>'Section 5 data'!$F$23</f>
        <v>5.7112358475753631</v>
      </c>
      <c r="F25" s="852">
        <f t="shared" si="1"/>
        <v>3208.3690000000001</v>
      </c>
    </row>
    <row r="26" spans="2:6" ht="15" customHeight="1" x14ac:dyDescent="0.2">
      <c r="B26" s="161" t="s">
        <v>102</v>
      </c>
      <c r="C26" s="857">
        <f>'Section 5 data'!$D$24</f>
        <v>58.298000000000002</v>
      </c>
      <c r="D26" s="858">
        <f>'Section 5 data'!$E$24</f>
        <v>5229.125</v>
      </c>
      <c r="E26" s="214">
        <f>'Section 5 data'!$F$24</f>
        <v>7.4416327299260692</v>
      </c>
      <c r="F26" s="852">
        <f t="shared" si="1"/>
        <v>5287.4229999999998</v>
      </c>
    </row>
    <row r="27" spans="2:6" ht="15" customHeight="1" x14ac:dyDescent="0.2">
      <c r="B27" s="161" t="s">
        <v>103</v>
      </c>
      <c r="C27" s="857">
        <f>'Section 5 data'!$D$25</f>
        <v>0.93500000000000005</v>
      </c>
      <c r="D27" s="858">
        <f>'Section 5 data'!$E$25</f>
        <v>4922.241</v>
      </c>
      <c r="E27" s="214">
        <f>'Section 5 data'!$F$25</f>
        <v>7.4100255708278659</v>
      </c>
      <c r="F27" s="852">
        <f t="shared" si="1"/>
        <v>4923.1760000000004</v>
      </c>
    </row>
    <row r="28" spans="2:6" ht="15" customHeight="1" x14ac:dyDescent="0.2">
      <c r="B28" s="161" t="s">
        <v>104</v>
      </c>
      <c r="C28" s="857">
        <f>'Section 5 data'!$D$26</f>
        <v>1196.8869999999999</v>
      </c>
      <c r="D28" s="858">
        <f>'Section 5 data'!$E$26</f>
        <v>13373.853999999999</v>
      </c>
      <c r="E28" s="214">
        <f>'Section 5 data'!$F$26</f>
        <v>4.5903772381163961</v>
      </c>
      <c r="F28" s="852">
        <f t="shared" si="1"/>
        <v>14570.741</v>
      </c>
    </row>
    <row r="29" spans="2:6" ht="15" customHeight="1" x14ac:dyDescent="0.2">
      <c r="B29" s="158" t="s">
        <v>105</v>
      </c>
      <c r="C29" s="215">
        <f>'Section 5 data'!$D$7</f>
        <v>8085.3559999999998</v>
      </c>
      <c r="D29" s="859">
        <f>'Section 5 data'!$E$7</f>
        <v>144755.245</v>
      </c>
      <c r="E29" s="912">
        <f>'Section 5 data'!$F$7</f>
        <v>1.4751990990213537</v>
      </c>
      <c r="F29" s="860">
        <f t="shared" si="1"/>
        <v>152840.601</v>
      </c>
    </row>
    <row r="30" spans="2:6" ht="15" customHeight="1" x14ac:dyDescent="0.2">
      <c r="B30" s="203" t="s">
        <v>106</v>
      </c>
      <c r="C30" s="862"/>
      <c r="D30" s="862"/>
      <c r="E30" s="5"/>
      <c r="F30" s="862"/>
    </row>
    <row r="31" spans="2:6" ht="15" customHeight="1" x14ac:dyDescent="0.2">
      <c r="B31" s="197" t="s">
        <v>106</v>
      </c>
      <c r="C31" s="863">
        <f>'Section 5 data'!$D$5</f>
        <v>25379.763999999999</v>
      </c>
      <c r="D31" s="864">
        <f>'Section 5 data'!$E$5</f>
        <v>183073.11799999999</v>
      </c>
      <c r="E31" s="914">
        <f>'Section 5 data'!$F$5</f>
        <v>1.2306123508003832</v>
      </c>
      <c r="F31" s="865">
        <f>SUM(C31,D31)</f>
        <v>208452.88199999998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between" id="{F4FD0811-7ABF-4DCD-9945-18355FDA55D9}">
            <xm:f>Sheet1!$D$4</xm:f>
            <xm:f>Sheet1!$E$4</xm:f>
            <x14:dxf>
              <numFmt numFmtId="173" formatCode="&quot;&lt; 1&quot;"/>
            </x14:dxf>
          </x14:cfRule>
          <xm:sqref>A1:XFD7 A32:XFD1048576 A8:B31 G8:XFD31</xm:sqref>
        </x14:conditionalFormatting>
        <x14:conditionalFormatting xmlns:xm="http://schemas.microsoft.com/office/excel/2006/main">
          <x14:cfRule type="expression" priority="2" id="{F4CFD7C5-3FA7-4CF6-8E04-2C2EE87AE060}">
            <xm:f>IF($E8&gt;Sheet1!$F$4,1,)+$D:$E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DA7E8B4E-B3EC-4D60-AA9C-32A781F168A4}">
            <xm:f>Sheet1!$D$4</xm:f>
            <xm:f>Sheet1!$E$4</xm:f>
            <x14:dxf>
              <numFmt numFmtId="173" formatCode="&quot;&lt; 1&quot;"/>
            </x14:dxf>
          </x14:cfRule>
          <xm:sqref>C8:D31 F8:F31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G23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189</v>
      </c>
      <c r="C3" t="s">
        <v>831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  <c r="G6" s="23"/>
    </row>
    <row r="7" spans="2:7" ht="15" customHeight="1" x14ac:dyDescent="0.2">
      <c r="B7" s="1034"/>
      <c r="C7" s="1060" t="s">
        <v>830</v>
      </c>
      <c r="D7" s="1034"/>
      <c r="E7" s="706" t="s">
        <v>82</v>
      </c>
      <c r="F7" s="953" t="s">
        <v>830</v>
      </c>
      <c r="G7" s="23"/>
    </row>
    <row r="8" spans="2:7" ht="15" customHeight="1" x14ac:dyDescent="0.2">
      <c r="B8" s="707" t="str">
        <f>Index!$B$4</f>
        <v>England</v>
      </c>
      <c r="C8" s="847">
        <f>'Section 5 data country'!$G$6</f>
        <v>17294.406999999999</v>
      </c>
      <c r="D8" s="208">
        <f>'Section 5 data country'!$H$6</f>
        <v>38364.232000000004</v>
      </c>
      <c r="E8" s="209">
        <f>'Section 5 data country'!$I$6</f>
        <v>2.3163705870022167</v>
      </c>
      <c r="F8" s="210">
        <f>SUM(C8,D8)</f>
        <v>55658.639000000003</v>
      </c>
      <c r="G8" s="709"/>
    </row>
    <row r="9" spans="2:7" ht="15" customHeight="1" x14ac:dyDescent="0.2">
      <c r="B9" s="710" t="s">
        <v>286</v>
      </c>
      <c r="C9" s="848">
        <f>'Section 5 data country'!$G$7</f>
        <v>1841.8579999999999</v>
      </c>
      <c r="D9" s="849">
        <f>'Section 5 data country'!$H$7</f>
        <v>3641.7550000000001</v>
      </c>
      <c r="E9" s="214">
        <f>'Section 5 data country'!$I$7</f>
        <v>6.86</v>
      </c>
      <c r="F9" s="852">
        <f t="shared" ref="F9:F22" si="0">SUM(C9,D9)</f>
        <v>5483.6130000000003</v>
      </c>
      <c r="G9" s="23"/>
    </row>
    <row r="10" spans="2:7" ht="15" customHeight="1" x14ac:dyDescent="0.2">
      <c r="B10" s="710" t="s">
        <v>298</v>
      </c>
      <c r="C10" s="848">
        <f>'Section 5 data country'!$G$8</f>
        <v>1161.96</v>
      </c>
      <c r="D10" s="849">
        <f>'Section 5 data country'!$H$8</f>
        <v>3782.7379999999998</v>
      </c>
      <c r="E10" s="214">
        <f>'Section 5 data country'!$I$8</f>
        <v>6.76</v>
      </c>
      <c r="F10" s="852">
        <f t="shared" si="0"/>
        <v>4944.6980000000003</v>
      </c>
      <c r="G10" s="703"/>
    </row>
    <row r="11" spans="2:7" ht="15" customHeight="1" x14ac:dyDescent="0.2">
      <c r="B11" s="710" t="s">
        <v>287</v>
      </c>
      <c r="C11" s="848">
        <f>'Section 5 data country'!$G$9</f>
        <v>2173.7420000000002</v>
      </c>
      <c r="D11" s="849">
        <f>'Section 5 data country'!$H$9</f>
        <v>2568.0079999999998</v>
      </c>
      <c r="E11" s="214">
        <f>'Section 5 data country'!$I$9</f>
        <v>7.75</v>
      </c>
      <c r="F11" s="852">
        <f t="shared" si="0"/>
        <v>4741.75</v>
      </c>
      <c r="G11" s="703"/>
    </row>
    <row r="12" spans="2:7" ht="15" customHeight="1" x14ac:dyDescent="0.2">
      <c r="B12" s="710" t="s">
        <v>288</v>
      </c>
      <c r="C12" s="848">
        <f>'Section 5 data country'!$G$10</f>
        <v>680.49900000000002</v>
      </c>
      <c r="D12" s="849">
        <f>'Section 5 data country'!$H$10</f>
        <v>1520.578</v>
      </c>
      <c r="E12" s="214">
        <f>'Section 5 data country'!$I$10</f>
        <v>12.99</v>
      </c>
      <c r="F12" s="852">
        <f t="shared" si="0"/>
        <v>2201.0770000000002</v>
      </c>
      <c r="G12" s="703"/>
    </row>
    <row r="13" spans="2:7" ht="15" customHeight="1" x14ac:dyDescent="0.2">
      <c r="B13" s="710" t="s">
        <v>301</v>
      </c>
      <c r="C13" s="848">
        <f>'Section 5 data country'!$G$11</f>
        <v>80.052000000000007</v>
      </c>
      <c r="D13" s="849">
        <f>'Section 5 data country'!$H$11</f>
        <v>367.40499999999997</v>
      </c>
      <c r="E13" s="214">
        <f>'Section 5 data country'!$I$11</f>
        <v>17.97</v>
      </c>
      <c r="F13" s="852">
        <f t="shared" si="0"/>
        <v>447.45699999999999</v>
      </c>
      <c r="G13" s="703"/>
    </row>
    <row r="14" spans="2:7" ht="15" customHeight="1" x14ac:dyDescent="0.2">
      <c r="B14" s="710" t="s">
        <v>302</v>
      </c>
      <c r="C14" s="848">
        <f>'Section 5 data country'!$G$12</f>
        <v>31.231999999999999</v>
      </c>
      <c r="D14" s="849">
        <f>'Section 5 data country'!$H$12</f>
        <v>555.38099999999997</v>
      </c>
      <c r="E14" s="214">
        <f>'Section 5 data country'!$I$12</f>
        <v>17.23</v>
      </c>
      <c r="F14" s="852">
        <f t="shared" si="0"/>
        <v>586.61299999999994</v>
      </c>
    </row>
    <row r="15" spans="2:7" ht="15" customHeight="1" x14ac:dyDescent="0.2">
      <c r="B15" s="710" t="s">
        <v>303</v>
      </c>
      <c r="C15" s="848">
        <f>'Section 5 data country'!$G$13</f>
        <v>344.06200000000001</v>
      </c>
      <c r="D15" s="849">
        <f>'Section 5 data country'!$H$13</f>
        <v>1684.798</v>
      </c>
      <c r="E15" s="214">
        <f>'Section 5 data country'!$I$13</f>
        <v>9.75</v>
      </c>
      <c r="F15" s="852">
        <f t="shared" si="0"/>
        <v>2028.8600000000001</v>
      </c>
    </row>
    <row r="16" spans="2:7" ht="15" customHeight="1" x14ac:dyDescent="0.2">
      <c r="B16" s="710" t="s">
        <v>304</v>
      </c>
      <c r="C16" s="848">
        <f>'Section 5 data country'!$G$14</f>
        <v>442.911</v>
      </c>
      <c r="D16" s="849">
        <f>'Section 5 data country'!$H$14</f>
        <v>730.74099999999999</v>
      </c>
      <c r="E16" s="214">
        <f>'Section 5 data country'!$I$14</f>
        <v>12.1</v>
      </c>
      <c r="F16" s="852">
        <f t="shared" si="0"/>
        <v>1173.652</v>
      </c>
    </row>
    <row r="17" spans="2:6" ht="15" customHeight="1" x14ac:dyDescent="0.2">
      <c r="B17" s="710" t="s">
        <v>291</v>
      </c>
      <c r="C17" s="848">
        <f>'Section 5 data country'!$G$15</f>
        <v>4561.4229999999998</v>
      </c>
      <c r="D17" s="849">
        <f>'Section 5 data country'!$H$15</f>
        <v>5107.1989999999996</v>
      </c>
      <c r="E17" s="214">
        <f>'Section 5 data country'!$I$15</f>
        <v>7.05</v>
      </c>
      <c r="F17" s="852">
        <f t="shared" si="0"/>
        <v>9668.6219999999994</v>
      </c>
    </row>
    <row r="18" spans="2:6" ht="15" customHeight="1" x14ac:dyDescent="0.2">
      <c r="B18" s="710" t="s">
        <v>292</v>
      </c>
      <c r="C18" s="848">
        <f>'Section 5 data country'!$G$16</f>
        <v>1374.81</v>
      </c>
      <c r="D18" s="849">
        <f>'Section 5 data country'!$H$16</f>
        <v>2884.9929999999999</v>
      </c>
      <c r="E18" s="214">
        <f>'Section 5 data country'!$I$16</f>
        <v>6.44</v>
      </c>
      <c r="F18" s="852">
        <f t="shared" si="0"/>
        <v>4259.8029999999999</v>
      </c>
    </row>
    <row r="19" spans="2:6" ht="15" customHeight="1" x14ac:dyDescent="0.2">
      <c r="B19" s="710" t="s">
        <v>293</v>
      </c>
      <c r="C19" s="848">
        <f>'Section 5 data country'!$G$17</f>
        <v>168.262</v>
      </c>
      <c r="D19" s="849">
        <f>'Section 5 data country'!$H$17</f>
        <v>3133.623</v>
      </c>
      <c r="E19" s="214">
        <f>'Section 5 data country'!$I$17</f>
        <v>7.04</v>
      </c>
      <c r="F19" s="852">
        <f t="shared" si="0"/>
        <v>3301.8850000000002</v>
      </c>
    </row>
    <row r="20" spans="2:6" ht="15" customHeight="1" x14ac:dyDescent="0.2">
      <c r="B20" s="710" t="s">
        <v>294</v>
      </c>
      <c r="C20" s="848">
        <f>'Section 5 data country'!$G$18</f>
        <v>895.74199999999996</v>
      </c>
      <c r="D20" s="849">
        <f>'Section 5 data country'!$H$18</f>
        <v>3794.78</v>
      </c>
      <c r="E20" s="214">
        <f>'Section 5 data country'!$I$18</f>
        <v>8.01</v>
      </c>
      <c r="F20" s="852">
        <f t="shared" si="0"/>
        <v>4690.5219999999999</v>
      </c>
    </row>
    <row r="21" spans="2:6" ht="15" customHeight="1" x14ac:dyDescent="0.2">
      <c r="B21" s="710" t="s">
        <v>295</v>
      </c>
      <c r="C21" s="848">
        <f>'Section 5 data country'!$G$19</f>
        <v>1923.4480000000001</v>
      </c>
      <c r="D21" s="849">
        <f>'Section 5 data country'!$H$19</f>
        <v>4952.415</v>
      </c>
      <c r="E21" s="214">
        <f>'Section 5 data country'!$I$19</f>
        <v>8.6999999999999993</v>
      </c>
      <c r="F21" s="852">
        <f t="shared" si="0"/>
        <v>6875.8630000000003</v>
      </c>
    </row>
    <row r="22" spans="2:6" ht="15" customHeight="1" x14ac:dyDescent="0.2">
      <c r="B22" s="714" t="s">
        <v>296</v>
      </c>
      <c r="C22" s="850">
        <f>'Section 5 data country'!$G$20</f>
        <v>1614.4059999999999</v>
      </c>
      <c r="D22" s="851">
        <f>'Section 5 data country'!$H$20</f>
        <v>3639.8180000000002</v>
      </c>
      <c r="E22" s="717">
        <f>'Section 5 data country'!$I$20</f>
        <v>5.77</v>
      </c>
      <c r="F22" s="853">
        <f t="shared" si="0"/>
        <v>5254.2240000000002</v>
      </c>
    </row>
    <row r="23" spans="2:6" ht="15" customHeight="1" x14ac:dyDescent="0.2">
      <c r="C23" s="522"/>
      <c r="D23" s="522"/>
      <c r="E23" s="522"/>
      <c r="F23" s="522"/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between" id="{59802452-B319-470B-9F28-7B40519DAE18}">
            <xm:f>Sheet1!$D$4</xm:f>
            <xm:f>Sheet1!$E$4</xm:f>
            <x14:dxf>
              <numFmt numFmtId="173" formatCode="&quot;&lt; 1&quot;"/>
            </x14:dxf>
          </x14:cfRule>
          <xm:sqref>A1:XFD7 A8:B22 G8:XFD22 A23:XFD1048576</xm:sqref>
        </x14:conditionalFormatting>
        <x14:conditionalFormatting xmlns:xm="http://schemas.microsoft.com/office/excel/2006/main">
          <x14:cfRule type="expression" priority="6" id="{270E9E43-DA84-4D55-85F0-68ED4537264D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5" operator="between" id="{47A22C39-AE1A-41DA-AB33-3B0714F63306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F23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191</v>
      </c>
      <c r="C3" t="s">
        <v>832</v>
      </c>
    </row>
    <row r="4" spans="2:6" ht="15" customHeight="1" x14ac:dyDescent="0.2">
      <c r="C4" s="522"/>
      <c r="D4" s="522"/>
      <c r="E4" s="522"/>
      <c r="F4" s="522"/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830</v>
      </c>
      <c r="D7" s="1034"/>
      <c r="E7" s="706" t="s">
        <v>82</v>
      </c>
      <c r="F7" s="953" t="s">
        <v>830</v>
      </c>
    </row>
    <row r="8" spans="2:6" ht="15" customHeight="1" x14ac:dyDescent="0.2">
      <c r="B8" s="707" t="str">
        <f>Index!$B$4</f>
        <v>England</v>
      </c>
      <c r="C8" s="847">
        <f>'Section 5 data country'!$K$6</f>
        <v>8085.3559999999998</v>
      </c>
      <c r="D8" s="208">
        <f>'Section 5 data country'!$L$6</f>
        <v>144755.245</v>
      </c>
      <c r="E8" s="209">
        <f>'Section 5 data country'!$M$6</f>
        <v>1.4751990990213537</v>
      </c>
      <c r="F8" s="210">
        <f>SUM(C8,D8)</f>
        <v>152840.601</v>
      </c>
    </row>
    <row r="9" spans="2:6" ht="15" customHeight="1" x14ac:dyDescent="0.2">
      <c r="B9" s="710" t="s">
        <v>286</v>
      </c>
      <c r="C9" s="848">
        <f>'Section 5 data country'!$K$7</f>
        <v>326.517</v>
      </c>
      <c r="D9" s="849">
        <f>'Section 5 data country'!$L$7</f>
        <v>6612.6009999999997</v>
      </c>
      <c r="E9" s="214">
        <f>'Section 5 data country'!$M$7</f>
        <v>5.88</v>
      </c>
      <c r="F9" s="852">
        <f t="shared" ref="F9:F22" si="0">SUM(C9,D9)</f>
        <v>6939.1179999999995</v>
      </c>
    </row>
    <row r="10" spans="2:6" ht="15" customHeight="1" x14ac:dyDescent="0.2">
      <c r="B10" s="710" t="s">
        <v>298</v>
      </c>
      <c r="C10" s="848">
        <f>'Section 5 data country'!$K$8</f>
        <v>271.06099999999998</v>
      </c>
      <c r="D10" s="849">
        <f>'Section 5 data country'!$L$8</f>
        <v>15034.264999999999</v>
      </c>
      <c r="E10" s="214">
        <f>'Section 5 data country'!$M$8</f>
        <v>5.27</v>
      </c>
      <c r="F10" s="852">
        <f t="shared" si="0"/>
        <v>15305.325999999999</v>
      </c>
    </row>
    <row r="11" spans="2:6" ht="15" customHeight="1" x14ac:dyDescent="0.2">
      <c r="B11" s="710" t="s">
        <v>287</v>
      </c>
      <c r="C11" s="848">
        <f>'Section 5 data country'!$K$9</f>
        <v>498.42</v>
      </c>
      <c r="D11" s="849">
        <f>'Section 5 data country'!$L$9</f>
        <v>13136.893</v>
      </c>
      <c r="E11" s="214">
        <f>'Section 5 data country'!$M$9</f>
        <v>4.7300000000000004</v>
      </c>
      <c r="F11" s="852">
        <f t="shared" si="0"/>
        <v>13635.313</v>
      </c>
    </row>
    <row r="12" spans="2:6" ht="15" customHeight="1" x14ac:dyDescent="0.2">
      <c r="B12" s="710" t="s">
        <v>288</v>
      </c>
      <c r="C12" s="848">
        <f>'Section 5 data country'!$K$10</f>
        <v>202.94200000000001</v>
      </c>
      <c r="D12" s="849">
        <f>'Section 5 data country'!$L$10</f>
        <v>5049.1610000000001</v>
      </c>
      <c r="E12" s="214">
        <f>'Section 5 data country'!$M$10</f>
        <v>8.49</v>
      </c>
      <c r="F12" s="852">
        <f t="shared" si="0"/>
        <v>5252.1030000000001</v>
      </c>
    </row>
    <row r="13" spans="2:6" ht="15" customHeight="1" x14ac:dyDescent="0.2">
      <c r="B13" s="710" t="s">
        <v>301</v>
      </c>
      <c r="C13" s="848">
        <f>'Section 5 data country'!$K$11</f>
        <v>47.807000000000002</v>
      </c>
      <c r="D13" s="849">
        <f>'Section 5 data country'!$L$11</f>
        <v>3491.9670000000001</v>
      </c>
      <c r="E13" s="214">
        <f>'Section 5 data country'!$M$11</f>
        <v>12.82</v>
      </c>
      <c r="F13" s="852">
        <f t="shared" si="0"/>
        <v>3539.7739999999999</v>
      </c>
    </row>
    <row r="14" spans="2:6" ht="15" customHeight="1" x14ac:dyDescent="0.2">
      <c r="B14" s="710" t="s">
        <v>302</v>
      </c>
      <c r="C14" s="848">
        <f>'Section 5 data country'!$K$12</f>
        <v>53.527999999999999</v>
      </c>
      <c r="D14" s="849">
        <f>'Section 5 data country'!$L$12</f>
        <v>4721.1080000000002</v>
      </c>
      <c r="E14" s="214">
        <f>'Section 5 data country'!$M$12</f>
        <v>13.32</v>
      </c>
      <c r="F14" s="852">
        <f t="shared" si="0"/>
        <v>4774.6360000000004</v>
      </c>
    </row>
    <row r="15" spans="2:6" ht="15" customHeight="1" x14ac:dyDescent="0.2">
      <c r="B15" s="710" t="s">
        <v>303</v>
      </c>
      <c r="C15" s="848">
        <f>'Section 5 data country'!$K$13</f>
        <v>340.40199999999999</v>
      </c>
      <c r="D15" s="849">
        <f>'Section 5 data country'!$L$13</f>
        <v>14645.942999999999</v>
      </c>
      <c r="E15" s="214">
        <f>'Section 5 data country'!$M$13</f>
        <v>4.59</v>
      </c>
      <c r="F15" s="852">
        <f t="shared" si="0"/>
        <v>14986.344999999999</v>
      </c>
    </row>
    <row r="16" spans="2:6" ht="15" customHeight="1" x14ac:dyDescent="0.2">
      <c r="B16" s="710" t="s">
        <v>304</v>
      </c>
      <c r="C16" s="848">
        <f>'Section 5 data country'!$K$14</f>
        <v>739.84299999999996</v>
      </c>
      <c r="D16" s="849">
        <f>'Section 5 data country'!$L$14</f>
        <v>5465.5720000000001</v>
      </c>
      <c r="E16" s="214">
        <f>'Section 5 data country'!$M$14</f>
        <v>6.69</v>
      </c>
      <c r="F16" s="852">
        <f t="shared" si="0"/>
        <v>6205.415</v>
      </c>
    </row>
    <row r="17" spans="2:6" ht="15" customHeight="1" x14ac:dyDescent="0.2">
      <c r="B17" s="710" t="s">
        <v>291</v>
      </c>
      <c r="C17" s="848">
        <f>'Section 5 data country'!$K$15</f>
        <v>120.384</v>
      </c>
      <c r="D17" s="849">
        <f>'Section 5 data country'!$L$15</f>
        <v>5087.7380000000003</v>
      </c>
      <c r="E17" s="214">
        <f>'Section 5 data country'!$M$15</f>
        <v>7.13</v>
      </c>
      <c r="F17" s="852">
        <f t="shared" si="0"/>
        <v>5208.1220000000003</v>
      </c>
    </row>
    <row r="18" spans="2:6" ht="15" customHeight="1" x14ac:dyDescent="0.2">
      <c r="B18" s="710" t="s">
        <v>292</v>
      </c>
      <c r="C18" s="848">
        <f>'Section 5 data country'!$K$16</f>
        <v>3231.15</v>
      </c>
      <c r="D18" s="849">
        <f>'Section 5 data country'!$L$16</f>
        <v>15602.014999999999</v>
      </c>
      <c r="E18" s="214">
        <f>'Section 5 data country'!$M$16</f>
        <v>3.39</v>
      </c>
      <c r="F18" s="852">
        <f t="shared" si="0"/>
        <v>18833.165000000001</v>
      </c>
    </row>
    <row r="19" spans="2:6" ht="15" customHeight="1" x14ac:dyDescent="0.2">
      <c r="B19" s="710" t="s">
        <v>293</v>
      </c>
      <c r="C19" s="848">
        <f>'Section 5 data country'!$K$17</f>
        <v>205.58099999999999</v>
      </c>
      <c r="D19" s="849">
        <f>'Section 5 data country'!$L$17</f>
        <v>13785.442999999999</v>
      </c>
      <c r="E19" s="214">
        <f>'Section 5 data country'!$M$17</f>
        <v>3.59</v>
      </c>
      <c r="F19" s="852">
        <f t="shared" si="0"/>
        <v>13991.023999999999</v>
      </c>
    </row>
    <row r="20" spans="2:6" ht="15" customHeight="1" x14ac:dyDescent="0.2">
      <c r="B20" s="710" t="s">
        <v>294</v>
      </c>
      <c r="C20" s="848">
        <f>'Section 5 data country'!$K$18</f>
        <v>713.59900000000005</v>
      </c>
      <c r="D20" s="849">
        <f>'Section 5 data country'!$L$18</f>
        <v>14483.373</v>
      </c>
      <c r="E20" s="214">
        <f>'Section 5 data country'!$M$18</f>
        <v>4.62</v>
      </c>
      <c r="F20" s="852">
        <f t="shared" si="0"/>
        <v>15196.972</v>
      </c>
    </row>
    <row r="21" spans="2:6" ht="15" customHeight="1" x14ac:dyDescent="0.2">
      <c r="B21" s="710" t="s">
        <v>295</v>
      </c>
      <c r="C21" s="848">
        <f>'Section 5 data country'!$K$19</f>
        <v>1022.853</v>
      </c>
      <c r="D21" s="849">
        <f>'Section 5 data country'!$L$19</f>
        <v>17776.674999999999</v>
      </c>
      <c r="E21" s="214">
        <f>'Section 5 data country'!$M$19</f>
        <v>4.88</v>
      </c>
      <c r="F21" s="852">
        <f t="shared" si="0"/>
        <v>18799.527999999998</v>
      </c>
    </row>
    <row r="22" spans="2:6" ht="15" customHeight="1" x14ac:dyDescent="0.2">
      <c r="B22" s="714" t="s">
        <v>296</v>
      </c>
      <c r="C22" s="850">
        <f>'Section 5 data country'!$K$20</f>
        <v>311.26900000000001</v>
      </c>
      <c r="D22" s="851">
        <f>'Section 5 data country'!$L$20</f>
        <v>9862.491</v>
      </c>
      <c r="E22" s="717">
        <f>'Section 5 data country'!$M$20</f>
        <v>4.22</v>
      </c>
      <c r="F22" s="853">
        <f t="shared" si="0"/>
        <v>10173.76</v>
      </c>
    </row>
    <row r="23" spans="2:6" ht="15" customHeight="1" x14ac:dyDescent="0.2">
      <c r="C23" s="522"/>
      <c r="D23" s="522"/>
      <c r="E23" s="522"/>
      <c r="F23" s="522"/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between" id="{22811F56-DC43-49A4-B9B2-6D1C64BD9668}">
            <xm:f>Sheet1!$D$4</xm:f>
            <xm:f>Sheet1!$E$4</xm:f>
            <x14:dxf>
              <numFmt numFmtId="173" formatCode="&quot;&lt; 1&quot;"/>
            </x14:dxf>
          </x14:cfRule>
          <xm:sqref>A8:B22 G8:XFD22 A1:XFD7 A23:XFD1048576</xm:sqref>
        </x14:conditionalFormatting>
        <x14:conditionalFormatting xmlns:xm="http://schemas.microsoft.com/office/excel/2006/main">
          <x14:cfRule type="expression" priority="4" id="{AC1C01A7-BCC6-40D6-8293-6625B2A095E1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3" operator="between" id="{F39C4356-BE1A-4E69-9995-8CF701AC9B08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193</v>
      </c>
      <c r="C3" t="s">
        <v>833</v>
      </c>
    </row>
    <row r="4" spans="2:6" ht="15" customHeight="1" x14ac:dyDescent="0.2">
      <c r="C4" s="522"/>
      <c r="D4" s="522"/>
      <c r="E4" s="522"/>
      <c r="F4" s="522"/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827" t="s">
        <v>78</v>
      </c>
      <c r="D6" s="1059" t="s">
        <v>79</v>
      </c>
      <c r="E6" s="1059"/>
      <c r="F6" s="828" t="s">
        <v>80</v>
      </c>
    </row>
    <row r="7" spans="2:6" ht="15" customHeight="1" x14ac:dyDescent="0.2">
      <c r="B7" s="1034"/>
      <c r="C7" s="1060" t="s">
        <v>830</v>
      </c>
      <c r="D7" s="1034"/>
      <c r="E7" s="706" t="s">
        <v>82</v>
      </c>
      <c r="F7" s="953" t="s">
        <v>830</v>
      </c>
    </row>
    <row r="8" spans="2:6" ht="15" customHeight="1" x14ac:dyDescent="0.2">
      <c r="B8" s="707" t="str">
        <f>Index!$B$4</f>
        <v>England</v>
      </c>
      <c r="C8" s="847">
        <f>'Section 5 data country'!$C$6</f>
        <v>25379.763999999999</v>
      </c>
      <c r="D8" s="208">
        <f>'Section 5 data country'!$D$6</f>
        <v>183073.11799999999</v>
      </c>
      <c r="E8" s="209">
        <f>'Section 5 data country'!$E$6</f>
        <v>1.2306123508003832</v>
      </c>
      <c r="F8" s="210">
        <f>SUM(C8,D8)</f>
        <v>208452.88199999998</v>
      </c>
    </row>
    <row r="9" spans="2:6" ht="15" customHeight="1" x14ac:dyDescent="0.2">
      <c r="B9" s="710" t="s">
        <v>286</v>
      </c>
      <c r="C9" s="848">
        <f>'Section 5 data country'!$C$7</f>
        <v>2168.375</v>
      </c>
      <c r="D9" s="849">
        <f>'Section 5 data country'!$D$7</f>
        <v>10262.669</v>
      </c>
      <c r="E9" s="214">
        <f>'Section 5 data country'!$E$7</f>
        <v>4.2699999999999996</v>
      </c>
      <c r="F9" s="852">
        <f t="shared" ref="F9:F22" si="0">SUM(C9,D9)</f>
        <v>12431.044</v>
      </c>
    </row>
    <row r="10" spans="2:6" ht="15" customHeight="1" x14ac:dyDescent="0.2">
      <c r="B10" s="710" t="s">
        <v>298</v>
      </c>
      <c r="C10" s="848">
        <f>'Section 5 data country'!$C$8</f>
        <v>1433.021</v>
      </c>
      <c r="D10" s="849">
        <f>'Section 5 data country'!$D$8</f>
        <v>18834.298999999999</v>
      </c>
      <c r="E10" s="214">
        <f>'Section 5 data country'!$E$8</f>
        <v>4.3899999999999997</v>
      </c>
      <c r="F10" s="852">
        <f t="shared" si="0"/>
        <v>20267.32</v>
      </c>
    </row>
    <row r="11" spans="2:6" ht="15" customHeight="1" x14ac:dyDescent="0.2">
      <c r="B11" s="710" t="s">
        <v>287</v>
      </c>
      <c r="C11" s="848">
        <f>'Section 5 data country'!$C$9</f>
        <v>2672.1619999999998</v>
      </c>
      <c r="D11" s="849">
        <f>'Section 5 data country'!$D$9</f>
        <v>15709.65</v>
      </c>
      <c r="E11" s="214">
        <f>'Section 5 data country'!$E$9</f>
        <v>3.98</v>
      </c>
      <c r="F11" s="852">
        <f t="shared" si="0"/>
        <v>18381.811999999998</v>
      </c>
    </row>
    <row r="12" spans="2:6" ht="15" customHeight="1" x14ac:dyDescent="0.2">
      <c r="B12" s="710" t="s">
        <v>288</v>
      </c>
      <c r="C12" s="848">
        <f>'Section 5 data country'!$C$10</f>
        <v>883.44100000000003</v>
      </c>
      <c r="D12" s="849">
        <f>'Section 5 data country'!$D$10</f>
        <v>6569.7380000000003</v>
      </c>
      <c r="E12" s="214">
        <f>'Section 5 data country'!$E$10</f>
        <v>6.66</v>
      </c>
      <c r="F12" s="852">
        <f t="shared" si="0"/>
        <v>7453.1790000000001</v>
      </c>
    </row>
    <row r="13" spans="2:6" ht="15" customHeight="1" x14ac:dyDescent="0.2">
      <c r="B13" s="710" t="s">
        <v>301</v>
      </c>
      <c r="C13" s="848">
        <f>'Section 5 data country'!$C$11</f>
        <v>127.85899999999999</v>
      </c>
      <c r="D13" s="849">
        <f>'Section 5 data country'!$D$11</f>
        <v>3859.3719999999998</v>
      </c>
      <c r="E13" s="214">
        <f>'Section 5 data country'!$E$11</f>
        <v>11.6</v>
      </c>
      <c r="F13" s="852">
        <f t="shared" si="0"/>
        <v>3987.2309999999998</v>
      </c>
    </row>
    <row r="14" spans="2:6" ht="15" customHeight="1" x14ac:dyDescent="0.2">
      <c r="B14" s="710" t="s">
        <v>302</v>
      </c>
      <c r="C14" s="848">
        <f>'Section 5 data country'!$C$12</f>
        <v>84.76</v>
      </c>
      <c r="D14" s="849">
        <f>'Section 5 data country'!$D$12</f>
        <v>5276.49</v>
      </c>
      <c r="E14" s="214">
        <f>'Section 5 data country'!$E$12</f>
        <v>12.02</v>
      </c>
      <c r="F14" s="852">
        <f t="shared" si="0"/>
        <v>5361.25</v>
      </c>
    </row>
    <row r="15" spans="2:6" ht="15" customHeight="1" x14ac:dyDescent="0.2">
      <c r="B15" s="710" t="s">
        <v>303</v>
      </c>
      <c r="C15" s="848">
        <f>'Section 5 data country'!$C$13</f>
        <v>684.46400000000006</v>
      </c>
      <c r="D15" s="849">
        <f>'Section 5 data country'!$D$13</f>
        <v>16334.795</v>
      </c>
      <c r="E15" s="214">
        <f>'Section 5 data country'!$E$13</f>
        <v>4.1399999999999997</v>
      </c>
      <c r="F15" s="852">
        <f t="shared" si="0"/>
        <v>17019.259000000002</v>
      </c>
    </row>
    <row r="16" spans="2:6" ht="15" customHeight="1" x14ac:dyDescent="0.2">
      <c r="B16" s="710" t="s">
        <v>304</v>
      </c>
      <c r="C16" s="848">
        <f>'Section 5 data country'!$C$14</f>
        <v>1182.7539999999999</v>
      </c>
      <c r="D16" s="849">
        <f>'Section 5 data country'!$D$14</f>
        <v>6205.0529999999999</v>
      </c>
      <c r="E16" s="214">
        <f>'Section 5 data country'!$E$14</f>
        <v>5.84</v>
      </c>
      <c r="F16" s="852">
        <f t="shared" si="0"/>
        <v>7387.8069999999998</v>
      </c>
    </row>
    <row r="17" spans="2:6" ht="15" customHeight="1" x14ac:dyDescent="0.2">
      <c r="B17" s="710" t="s">
        <v>291</v>
      </c>
      <c r="C17" s="848">
        <f>'Section 5 data country'!$C$15</f>
        <v>4681.8069999999998</v>
      </c>
      <c r="D17" s="849">
        <f>'Section 5 data country'!$D$15</f>
        <v>10207.405000000001</v>
      </c>
      <c r="E17" s="214">
        <f>'Section 5 data country'!$E$15</f>
        <v>4.82</v>
      </c>
      <c r="F17" s="852">
        <f t="shared" si="0"/>
        <v>14889.212</v>
      </c>
    </row>
    <row r="18" spans="2:6" ht="15" customHeight="1" x14ac:dyDescent="0.2">
      <c r="B18" s="710" t="s">
        <v>292</v>
      </c>
      <c r="C18" s="848">
        <f>'Section 5 data country'!$C$16</f>
        <v>4605.9610000000002</v>
      </c>
      <c r="D18" s="849">
        <f>'Section 5 data country'!$D$16</f>
        <v>18500.07</v>
      </c>
      <c r="E18" s="214">
        <f>'Section 5 data country'!$E$16</f>
        <v>2.95</v>
      </c>
      <c r="F18" s="852">
        <f t="shared" si="0"/>
        <v>23106.030999999999</v>
      </c>
    </row>
    <row r="19" spans="2:6" ht="15" customHeight="1" x14ac:dyDescent="0.2">
      <c r="B19" s="710" t="s">
        <v>293</v>
      </c>
      <c r="C19" s="848">
        <f>'Section 5 data country'!$C$17</f>
        <v>373.84300000000002</v>
      </c>
      <c r="D19" s="849">
        <f>'Section 5 data country'!$D$17</f>
        <v>16899.489000000001</v>
      </c>
      <c r="E19" s="214">
        <f>'Section 5 data country'!$E$17</f>
        <v>3.07</v>
      </c>
      <c r="F19" s="852">
        <f t="shared" si="0"/>
        <v>17273.332000000002</v>
      </c>
    </row>
    <row r="20" spans="2:6" ht="15" customHeight="1" x14ac:dyDescent="0.2">
      <c r="B20" s="710" t="s">
        <v>294</v>
      </c>
      <c r="C20" s="848">
        <f>'Section 5 data country'!$C$18</f>
        <v>1609.3409999999999</v>
      </c>
      <c r="D20" s="849">
        <f>'Section 5 data country'!$D$18</f>
        <v>18245.454000000002</v>
      </c>
      <c r="E20" s="214">
        <f>'Section 5 data country'!$E$18</f>
        <v>3.92</v>
      </c>
      <c r="F20" s="852">
        <f t="shared" si="0"/>
        <v>19854.795000000002</v>
      </c>
    </row>
    <row r="21" spans="2:6" ht="15" customHeight="1" x14ac:dyDescent="0.2">
      <c r="B21" s="710" t="s">
        <v>295</v>
      </c>
      <c r="C21" s="848">
        <f>'Section 5 data country'!$C$19</f>
        <v>2946.3009999999999</v>
      </c>
      <c r="D21" s="849">
        <f>'Section 5 data country'!$D$19</f>
        <v>22668.681</v>
      </c>
      <c r="E21" s="214">
        <f>'Section 5 data country'!$E$19</f>
        <v>4.21</v>
      </c>
      <c r="F21" s="852">
        <f t="shared" si="0"/>
        <v>25614.982</v>
      </c>
    </row>
    <row r="22" spans="2:6" ht="15" customHeight="1" x14ac:dyDescent="0.2">
      <c r="B22" s="714" t="s">
        <v>296</v>
      </c>
      <c r="C22" s="850">
        <f>'Section 5 data country'!$C$20</f>
        <v>1925.675</v>
      </c>
      <c r="D22" s="851">
        <f>'Section 5 data country'!$D$20</f>
        <v>13499.953</v>
      </c>
      <c r="E22" s="717">
        <f>'Section 5 data country'!$E$20</f>
        <v>3.27</v>
      </c>
      <c r="F22" s="853">
        <f t="shared" si="0"/>
        <v>15425.627999999999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between" id="{1FC40DFE-6FD4-4FE7-9736-4227656A3C3B}">
            <xm:f>Sheet1!$D$4</xm:f>
            <xm:f>Sheet1!$E$4</xm:f>
            <x14:dxf>
              <numFmt numFmtId="173" formatCode="&quot;&lt; 1&quot;"/>
            </x14:dxf>
          </x14:cfRule>
          <xm:sqref>A23:XFD1048576 A8:B22 G8:XFD22 A1:XFD7</xm:sqref>
        </x14:conditionalFormatting>
        <x14:conditionalFormatting xmlns:xm="http://schemas.microsoft.com/office/excel/2006/main">
          <x14:cfRule type="expression" priority="2" id="{F21022E4-9CFF-4131-A0C1-0A70E7C0CB6C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C29A8372-937F-4ECE-845C-B4087541F646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Index!$E$55</f>
        <v>Carbon stocks in live woodland trees</v>
      </c>
    </row>
  </sheetData>
  <hyperlinks>
    <hyperlink ref="A1" location="Index!B40" display="Return to index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4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195</v>
      </c>
      <c r="C3" t="s">
        <v>439</v>
      </c>
    </row>
    <row r="5" spans="2:6" ht="15" customHeight="1" x14ac:dyDescent="0.2">
      <c r="B5" s="1079" t="s">
        <v>77</v>
      </c>
      <c r="C5" s="174" t="s">
        <v>78</v>
      </c>
      <c r="D5" s="1075" t="s">
        <v>79</v>
      </c>
      <c r="E5" s="1075"/>
      <c r="F5" s="216" t="s">
        <v>80</v>
      </c>
    </row>
    <row r="6" spans="2:6" ht="30" customHeight="1" x14ac:dyDescent="0.2">
      <c r="B6" s="1080"/>
      <c r="C6" s="180" t="s">
        <v>156</v>
      </c>
      <c r="D6" s="180" t="s">
        <v>157</v>
      </c>
      <c r="E6" s="217" t="s">
        <v>82</v>
      </c>
      <c r="F6" s="218" t="s">
        <v>157</v>
      </c>
    </row>
    <row r="7" spans="2:6" ht="15" customHeight="1" x14ac:dyDescent="0.2">
      <c r="B7" s="203" t="s">
        <v>83</v>
      </c>
      <c r="C7" s="204"/>
      <c r="D7" s="204"/>
      <c r="E7" s="4"/>
      <c r="F7" s="204"/>
    </row>
    <row r="8" spans="2:6" ht="15" customHeight="1" x14ac:dyDescent="0.2">
      <c r="B8" s="161" t="s">
        <v>84</v>
      </c>
      <c r="C8" s="857">
        <f>'Section 6 data'!$D$8</f>
        <v>2997.0770000000002</v>
      </c>
      <c r="D8" s="858">
        <f>'Section 6 data'!$E$8</f>
        <v>3343.5390000000002</v>
      </c>
      <c r="E8" s="214">
        <f>'Section 6 data'!$F$8</f>
        <v>7.8114557794810198</v>
      </c>
      <c r="F8" s="852">
        <f>SUM(C8,D8)</f>
        <v>6340.616</v>
      </c>
    </row>
    <row r="9" spans="2:6" ht="15" customHeight="1" x14ac:dyDescent="0.2">
      <c r="B9" s="161" t="s">
        <v>85</v>
      </c>
      <c r="C9" s="857">
        <f>'Section 6 data'!$D$9</f>
        <v>1365.0309999999999</v>
      </c>
      <c r="D9" s="858">
        <f>'Section 6 data'!$E$9</f>
        <v>5039.1080000000002</v>
      </c>
      <c r="E9" s="214">
        <f>'Section 6 data'!$F$9</f>
        <v>5.1451452051424553</v>
      </c>
      <c r="F9" s="852">
        <f t="shared" ref="F9:F16" si="0">SUM(C9,D9)</f>
        <v>6404.1390000000001</v>
      </c>
    </row>
    <row r="10" spans="2:6" ht="15" customHeight="1" x14ac:dyDescent="0.2">
      <c r="B10" s="161" t="s">
        <v>86</v>
      </c>
      <c r="C10" s="857">
        <f>'Section 6 data'!$D$10</f>
        <v>1649.117</v>
      </c>
      <c r="D10" s="858">
        <f>'Section 6 data'!$E$10</f>
        <v>1362.491</v>
      </c>
      <c r="E10" s="214">
        <f>'Section 6 data'!$F$10</f>
        <v>9.4619481506345604</v>
      </c>
      <c r="F10" s="852">
        <f t="shared" si="0"/>
        <v>3011.6080000000002</v>
      </c>
    </row>
    <row r="11" spans="2:6" ht="15" customHeight="1" x14ac:dyDescent="0.2">
      <c r="B11" s="161" t="s">
        <v>87</v>
      </c>
      <c r="C11" s="857">
        <f>'Section 6 data'!$D$11</f>
        <v>463.02100000000002</v>
      </c>
      <c r="D11" s="858">
        <f>'Section 6 data'!$E$11</f>
        <v>1829.0329999999999</v>
      </c>
      <c r="E11" s="214">
        <f>'Section 6 data'!$F$11</f>
        <v>7.6590679707465288</v>
      </c>
      <c r="F11" s="852">
        <f t="shared" si="0"/>
        <v>2292.0540000000001</v>
      </c>
    </row>
    <row r="12" spans="2:6" ht="15" customHeight="1" x14ac:dyDescent="0.2">
      <c r="B12" s="161" t="s">
        <v>88</v>
      </c>
      <c r="C12" s="857">
        <f>'Section 6 data'!$D$12</f>
        <v>552.56799999999998</v>
      </c>
      <c r="D12" s="858">
        <f>'Section 6 data'!$E$12</f>
        <v>3157.569</v>
      </c>
      <c r="E12" s="214">
        <f>'Section 6 data'!$F$12</f>
        <v>5.7243781619447907</v>
      </c>
      <c r="F12" s="852">
        <f t="shared" si="0"/>
        <v>3710.1369999999997</v>
      </c>
    </row>
    <row r="13" spans="2:6" ht="15" customHeight="1" x14ac:dyDescent="0.2">
      <c r="B13" s="161" t="s">
        <v>89</v>
      </c>
      <c r="C13" s="857">
        <f>'Section 6 data'!$D$13</f>
        <v>893.54899999999998</v>
      </c>
      <c r="D13" s="858">
        <f>'Section 6 data'!$E$13</f>
        <v>2035.537</v>
      </c>
      <c r="E13" s="214">
        <f>'Section 6 data'!$F$13</f>
        <v>9.4673845147638982</v>
      </c>
      <c r="F13" s="852">
        <f t="shared" si="0"/>
        <v>2929.0860000000002</v>
      </c>
    </row>
    <row r="14" spans="2:6" ht="15" customHeight="1" x14ac:dyDescent="0.2">
      <c r="B14" s="161" t="s">
        <v>90</v>
      </c>
      <c r="C14" s="857">
        <f>'Section 6 data'!$D$14</f>
        <v>305.13900000000001</v>
      </c>
      <c r="D14" s="858">
        <f>'Section 6 data'!$E$14</f>
        <v>354.459</v>
      </c>
      <c r="E14" s="214">
        <f>'Section 6 data'!$F$14</f>
        <v>20.780004018332118</v>
      </c>
      <c r="F14" s="852">
        <f t="shared" si="0"/>
        <v>659.59799999999996</v>
      </c>
    </row>
    <row r="15" spans="2:6" ht="15" customHeight="1" x14ac:dyDescent="0.2">
      <c r="B15" s="161" t="s">
        <v>91</v>
      </c>
      <c r="C15" s="857">
        <f>'Section 6 data'!$D$15</f>
        <v>421.709</v>
      </c>
      <c r="D15" s="858">
        <f>'Section 6 data'!$E$15</f>
        <v>2044.847</v>
      </c>
      <c r="E15" s="214">
        <f>'Section 6 data'!$F$15</f>
        <v>9.297201362009325</v>
      </c>
      <c r="F15" s="852">
        <f t="shared" si="0"/>
        <v>2466.556</v>
      </c>
    </row>
    <row r="16" spans="2:6" ht="15" customHeight="1" x14ac:dyDescent="0.2">
      <c r="B16" s="158" t="s">
        <v>92</v>
      </c>
      <c r="C16" s="215">
        <f>'Section 6 data'!$D$6</f>
        <v>8647.2039999999997</v>
      </c>
      <c r="D16" s="859">
        <f>'Section 6 data'!$E$6</f>
        <v>19182.116999999998</v>
      </c>
      <c r="E16" s="912">
        <f>'Section 6 data'!$F$6</f>
        <v>2.3163705555550931</v>
      </c>
      <c r="F16" s="860">
        <f t="shared" si="0"/>
        <v>27829.320999999996</v>
      </c>
    </row>
    <row r="17" spans="2:6" ht="15" customHeight="1" x14ac:dyDescent="0.2">
      <c r="B17" s="203" t="s">
        <v>93</v>
      </c>
      <c r="C17" s="861"/>
      <c r="D17" s="861"/>
      <c r="E17" s="913"/>
      <c r="F17" s="861"/>
    </row>
    <row r="18" spans="2:6" ht="15" customHeight="1" x14ac:dyDescent="0.2">
      <c r="B18" s="161" t="s">
        <v>94</v>
      </c>
      <c r="C18" s="857">
        <f>'Section 6 data'!$D$16</f>
        <v>1517.2840000000001</v>
      </c>
      <c r="D18" s="858">
        <f>'Section 6 data'!$E$16</f>
        <v>21418.791000000001</v>
      </c>
      <c r="E18" s="214">
        <f>'Section 6 data'!$F$16</f>
        <v>3.3255831493575942</v>
      </c>
      <c r="F18" s="852">
        <f t="shared" ref="F18:F29" si="1">SUM(C18,D18)</f>
        <v>22936.075000000001</v>
      </c>
    </row>
    <row r="19" spans="2:6" ht="15" customHeight="1" x14ac:dyDescent="0.2">
      <c r="B19" s="161" t="s">
        <v>95</v>
      </c>
      <c r="C19" s="857">
        <f>'Section 6 data'!$D$17</f>
        <v>1307.662</v>
      </c>
      <c r="D19" s="858">
        <f>'Section 6 data'!$E$17</f>
        <v>8054.1419999999998</v>
      </c>
      <c r="E19" s="214">
        <f>'Section 6 data'!$F$17</f>
        <v>6.1142564922613074</v>
      </c>
      <c r="F19" s="852">
        <f t="shared" si="1"/>
        <v>9361.8040000000001</v>
      </c>
    </row>
    <row r="20" spans="2:6" ht="15" customHeight="1" x14ac:dyDescent="0.2">
      <c r="B20" s="161" t="s">
        <v>96</v>
      </c>
      <c r="C20" s="857">
        <f>'Section 6 data'!$D$18</f>
        <v>68.837000000000003</v>
      </c>
      <c r="D20" s="858">
        <f>'Section 6 data'!$E$18</f>
        <v>6721.3360000000002</v>
      </c>
      <c r="E20" s="214">
        <f>'Section 6 data'!$F$18</f>
        <v>5.6951521276336496</v>
      </c>
      <c r="F20" s="852">
        <f t="shared" si="1"/>
        <v>6790.1730000000007</v>
      </c>
    </row>
    <row r="21" spans="2:6" ht="15" customHeight="1" x14ac:dyDescent="0.2">
      <c r="B21" s="161" t="s">
        <v>97</v>
      </c>
      <c r="C21" s="857">
        <f>'Section 6 data'!$D$19</f>
        <v>194.27799999999999</v>
      </c>
      <c r="D21" s="858">
        <f>'Section 6 data'!$E$19</f>
        <v>12082.593000000001</v>
      </c>
      <c r="E21" s="214">
        <f>'Section 6 data'!$F$19</f>
        <v>3.8964387473347029</v>
      </c>
      <c r="F21" s="852">
        <f t="shared" si="1"/>
        <v>12276.871000000001</v>
      </c>
    </row>
    <row r="22" spans="2:6" ht="15" customHeight="1" x14ac:dyDescent="0.2">
      <c r="B22" s="161" t="s">
        <v>98</v>
      </c>
      <c r="C22" s="857">
        <f>'Section 6 data'!$D$20</f>
        <v>251.18700000000001</v>
      </c>
      <c r="D22" s="858">
        <f>'Section 6 data'!$E$20</f>
        <v>5337.9350000000004</v>
      </c>
      <c r="E22" s="214">
        <f>'Section 6 data'!$F$20</f>
        <v>4.1490156635607764</v>
      </c>
      <c r="F22" s="852">
        <f t="shared" si="1"/>
        <v>5589.1220000000003</v>
      </c>
    </row>
    <row r="23" spans="2:6" ht="15" customHeight="1" x14ac:dyDescent="0.2">
      <c r="B23" s="161" t="s">
        <v>99</v>
      </c>
      <c r="C23" s="857">
        <f>'Section 6 data'!$D$21</f>
        <v>53.389000000000003</v>
      </c>
      <c r="D23" s="858">
        <f>'Section 6 data'!$E$21</f>
        <v>3082.8330000000001</v>
      </c>
      <c r="E23" s="214">
        <f>'Section 6 data'!$F$21</f>
        <v>8.4046439959169223</v>
      </c>
      <c r="F23" s="852">
        <f t="shared" si="1"/>
        <v>3136.2220000000002</v>
      </c>
    </row>
    <row r="24" spans="2:6" ht="15" customHeight="1" x14ac:dyDescent="0.2">
      <c r="B24" s="161" t="s">
        <v>100</v>
      </c>
      <c r="C24" s="857">
        <f>'Section 6 data'!$D$22</f>
        <v>21.913</v>
      </c>
      <c r="D24" s="858">
        <f>'Section 6 data'!$E$22</f>
        <v>2321.1959999999999</v>
      </c>
      <c r="E24" s="214">
        <f>'Section 6 data'!$F$22</f>
        <v>5.0667052962575481</v>
      </c>
      <c r="F24" s="852">
        <f t="shared" si="1"/>
        <v>2343.1089999999999</v>
      </c>
    </row>
    <row r="25" spans="2:6" ht="15" customHeight="1" x14ac:dyDescent="0.2">
      <c r="B25" s="161" t="s">
        <v>101</v>
      </c>
      <c r="C25" s="857">
        <f>'Section 6 data'!$D$23</f>
        <v>6.6000000000000003E-2</v>
      </c>
      <c r="D25" s="858">
        <f>'Section 6 data'!$E$23</f>
        <v>1604.1189999999999</v>
      </c>
      <c r="E25" s="214">
        <f>'Section 6 data'!$F$23</f>
        <v>5.71123622112116</v>
      </c>
      <c r="F25" s="852">
        <f t="shared" si="1"/>
        <v>1604.1849999999999</v>
      </c>
    </row>
    <row r="26" spans="2:6" ht="15" customHeight="1" x14ac:dyDescent="0.2">
      <c r="B26" s="161" t="s">
        <v>102</v>
      </c>
      <c r="C26" s="857">
        <f>'Section 6 data'!$D$24</f>
        <v>29.15</v>
      </c>
      <c r="D26" s="858">
        <f>'Section 6 data'!$E$24</f>
        <v>2614.5630000000001</v>
      </c>
      <c r="E26" s="214">
        <f>'Section 6 data'!$F$24</f>
        <v>7.4416343574903214</v>
      </c>
      <c r="F26" s="852">
        <f t="shared" si="1"/>
        <v>2643.7130000000002</v>
      </c>
    </row>
    <row r="27" spans="2:6" ht="15" customHeight="1" x14ac:dyDescent="0.2">
      <c r="B27" s="161" t="s">
        <v>103</v>
      </c>
      <c r="C27" s="857">
        <f>'Section 6 data'!$D$25</f>
        <v>0.46899999999999997</v>
      </c>
      <c r="D27" s="858">
        <f>'Section 6 data'!$E$25</f>
        <v>2461.12</v>
      </c>
      <c r="E27" s="214">
        <f>'Section 6 data'!$F$25</f>
        <v>7.4100265085064407</v>
      </c>
      <c r="F27" s="852">
        <f t="shared" si="1"/>
        <v>2461.5889999999999</v>
      </c>
    </row>
    <row r="28" spans="2:6" ht="15" customHeight="1" x14ac:dyDescent="0.2">
      <c r="B28" s="161" t="s">
        <v>104</v>
      </c>
      <c r="C28" s="857">
        <f>'Section 6 data'!$D$26</f>
        <v>598.44500000000005</v>
      </c>
      <c r="D28" s="858">
        <f>'Section 6 data'!$E$26</f>
        <v>6686.9279999999999</v>
      </c>
      <c r="E28" s="214">
        <f>'Section 6 data'!$F$26</f>
        <v>4.5903775743846831</v>
      </c>
      <c r="F28" s="852">
        <f t="shared" si="1"/>
        <v>7285.3729999999996</v>
      </c>
    </row>
    <row r="29" spans="2:6" ht="15" customHeight="1" x14ac:dyDescent="0.2">
      <c r="B29" s="158" t="s">
        <v>105</v>
      </c>
      <c r="C29" s="215">
        <f>'Section 6 data'!$D$7</f>
        <v>4042.6770000000001</v>
      </c>
      <c r="D29" s="859">
        <f>'Section 6 data'!$E$7</f>
        <v>72377.625</v>
      </c>
      <c r="E29" s="912">
        <f>'Section 6 data'!$F$7</f>
        <v>1.4751991132146667</v>
      </c>
      <c r="F29" s="860">
        <f t="shared" si="1"/>
        <v>76420.301999999996</v>
      </c>
    </row>
    <row r="30" spans="2:6" ht="15" customHeight="1" x14ac:dyDescent="0.2">
      <c r="B30" s="203" t="s">
        <v>106</v>
      </c>
      <c r="C30" s="862"/>
      <c r="D30" s="862"/>
      <c r="E30" s="5"/>
      <c r="F30" s="862"/>
    </row>
    <row r="31" spans="2:6" ht="15" customHeight="1" x14ac:dyDescent="0.2">
      <c r="B31" s="197" t="s">
        <v>106</v>
      </c>
      <c r="C31" s="863">
        <f>'Section 6 data'!$D$5</f>
        <v>12689.88</v>
      </c>
      <c r="D31" s="864">
        <f>'Section 6 data'!$E$5</f>
        <v>91536.558999999994</v>
      </c>
      <c r="E31" s="914">
        <f>'Section 6 data'!$F$5</f>
        <v>1.2306123466278243</v>
      </c>
      <c r="F31" s="865">
        <f>SUM(C31,D31)</f>
        <v>104226.439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158A57-BC48-4664-BEFC-811231420CB5}">
            <xm:f>IF($E8&gt;Sheet1!$F$4,1,)+$D:$E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B8308DF4-EB7A-4E42-A188-C36161D9FA5E}">
            <xm:f>Sheet1!$D$4</xm:f>
            <xm:f>Sheet1!$E$4</xm:f>
            <x14:dxf>
              <numFmt numFmtId="173" formatCode="&quot;&lt; 1&quot;"/>
            </x14:dxf>
          </x14:cfRule>
          <xm:sqref>C8:D31 F8:F31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G23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7" ht="15" customHeight="1" x14ac:dyDescent="0.2">
      <c r="B3" t="s">
        <v>197</v>
      </c>
      <c r="C3" t="s">
        <v>836</v>
      </c>
    </row>
    <row r="4" spans="2:7" ht="15" customHeight="1" x14ac:dyDescent="0.2">
      <c r="G4" s="703"/>
    </row>
    <row r="5" spans="2:7" ht="15" customHeight="1" x14ac:dyDescent="0.2">
      <c r="B5" s="1033" t="s">
        <v>376</v>
      </c>
      <c r="C5" s="1058" t="s">
        <v>92</v>
      </c>
      <c r="D5" s="1058"/>
      <c r="E5" s="1058"/>
      <c r="F5" s="1032"/>
      <c r="G5" s="23"/>
    </row>
    <row r="6" spans="2:7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  <c r="G6" s="23"/>
    </row>
    <row r="7" spans="2:7" ht="15" customHeight="1" x14ac:dyDescent="0.2">
      <c r="B7" s="1034"/>
      <c r="C7" s="1060" t="s">
        <v>835</v>
      </c>
      <c r="D7" s="1034"/>
      <c r="E7" s="706" t="s">
        <v>82</v>
      </c>
      <c r="F7" s="953" t="s">
        <v>835</v>
      </c>
      <c r="G7" s="23"/>
    </row>
    <row r="8" spans="2:7" ht="15" customHeight="1" x14ac:dyDescent="0.2">
      <c r="B8" s="707" t="str">
        <f>Index!$B$4</f>
        <v>England</v>
      </c>
      <c r="C8" s="847">
        <f>'Section 6 data country'!$G$6</f>
        <v>8647.2039999999997</v>
      </c>
      <c r="D8" s="208">
        <f>'Section 6 data country'!$H$6</f>
        <v>19182.116999999998</v>
      </c>
      <c r="E8" s="209">
        <f>'Section 6 data country'!$I$6</f>
        <v>2.3163705555550931</v>
      </c>
      <c r="F8" s="210">
        <f>SUM(C8,D8)</f>
        <v>27829.320999999996</v>
      </c>
      <c r="G8" s="709"/>
    </row>
    <row r="9" spans="2:7" ht="15" customHeight="1" x14ac:dyDescent="0.2">
      <c r="B9" s="710" t="s">
        <v>286</v>
      </c>
      <c r="C9" s="848">
        <f>'Section 6 data country'!$G$7</f>
        <v>920.92899999999997</v>
      </c>
      <c r="D9" s="849">
        <f>'Section 6 data country'!$H$7</f>
        <v>1820.877</v>
      </c>
      <c r="E9" s="214">
        <f>'Section 6 data country'!$I$7</f>
        <v>6.86</v>
      </c>
      <c r="F9" s="852">
        <f t="shared" ref="F9:F22" si="0">SUM(C9,D9)</f>
        <v>2741.806</v>
      </c>
      <c r="G9" s="23"/>
    </row>
    <row r="10" spans="2:7" ht="15" customHeight="1" x14ac:dyDescent="0.2">
      <c r="B10" s="710" t="s">
        <v>298</v>
      </c>
      <c r="C10" s="848">
        <f>'Section 6 data country'!$G$8</f>
        <v>580.98</v>
      </c>
      <c r="D10" s="849">
        <f>'Section 6 data country'!$H$8</f>
        <v>1891.3689999999999</v>
      </c>
      <c r="E10" s="214">
        <f>'Section 6 data country'!$I$8</f>
        <v>6.76</v>
      </c>
      <c r="F10" s="852">
        <f t="shared" si="0"/>
        <v>2472.3490000000002</v>
      </c>
      <c r="G10" s="703"/>
    </row>
    <row r="11" spans="2:7" ht="15" customHeight="1" x14ac:dyDescent="0.2">
      <c r="B11" s="710" t="s">
        <v>287</v>
      </c>
      <c r="C11" s="848">
        <f>'Section 6 data country'!$G$9</f>
        <v>1086.8710000000001</v>
      </c>
      <c r="D11" s="849">
        <f>'Section 6 data country'!$H$9</f>
        <v>1284.0039999999999</v>
      </c>
      <c r="E11" s="214">
        <f>'Section 6 data country'!$I$9</f>
        <v>7.75</v>
      </c>
      <c r="F11" s="852">
        <f t="shared" si="0"/>
        <v>2370.875</v>
      </c>
      <c r="G11" s="703"/>
    </row>
    <row r="12" spans="2:7" ht="15" customHeight="1" x14ac:dyDescent="0.2">
      <c r="B12" s="710" t="s">
        <v>288</v>
      </c>
      <c r="C12" s="848">
        <f>'Section 6 data country'!$G$10</f>
        <v>340.25</v>
      </c>
      <c r="D12" s="849">
        <f>'Section 6 data country'!$H$10</f>
        <v>760.28899999999999</v>
      </c>
      <c r="E12" s="214">
        <f>'Section 6 data country'!$I$10</f>
        <v>12.99</v>
      </c>
      <c r="F12" s="852">
        <f t="shared" si="0"/>
        <v>1100.539</v>
      </c>
      <c r="G12" s="703"/>
    </row>
    <row r="13" spans="2:7" ht="15" customHeight="1" x14ac:dyDescent="0.2">
      <c r="B13" s="710" t="s">
        <v>301</v>
      </c>
      <c r="C13" s="848">
        <f>'Section 6 data country'!$G$11</f>
        <v>40.026000000000003</v>
      </c>
      <c r="D13" s="849">
        <f>'Section 6 data country'!$H$11</f>
        <v>183.703</v>
      </c>
      <c r="E13" s="214">
        <f>'Section 6 data country'!$I$11</f>
        <v>17.97</v>
      </c>
      <c r="F13" s="852">
        <f t="shared" si="0"/>
        <v>223.72900000000001</v>
      </c>
      <c r="G13" s="703"/>
    </row>
    <row r="14" spans="2:7" ht="15" customHeight="1" x14ac:dyDescent="0.2">
      <c r="B14" s="710" t="s">
        <v>302</v>
      </c>
      <c r="C14" s="848">
        <f>'Section 6 data country'!$G$12</f>
        <v>15.616</v>
      </c>
      <c r="D14" s="849">
        <f>'Section 6 data country'!$H$12</f>
        <v>277.69099999999997</v>
      </c>
      <c r="E14" s="214">
        <f>'Section 6 data country'!$I$12</f>
        <v>17.23</v>
      </c>
      <c r="F14" s="852">
        <f t="shared" si="0"/>
        <v>293.30699999999996</v>
      </c>
    </row>
    <row r="15" spans="2:7" ht="15" customHeight="1" x14ac:dyDescent="0.2">
      <c r="B15" s="710" t="s">
        <v>303</v>
      </c>
      <c r="C15" s="848">
        <f>'Section 6 data country'!$G$13</f>
        <v>172.03100000000001</v>
      </c>
      <c r="D15" s="849">
        <f>'Section 6 data country'!$H$13</f>
        <v>842.399</v>
      </c>
      <c r="E15" s="214">
        <f>'Section 6 data country'!$I$13</f>
        <v>9.75</v>
      </c>
      <c r="F15" s="852">
        <f t="shared" si="0"/>
        <v>1014.4300000000001</v>
      </c>
    </row>
    <row r="16" spans="2:7" ht="15" customHeight="1" x14ac:dyDescent="0.2">
      <c r="B16" s="710" t="s">
        <v>304</v>
      </c>
      <c r="C16" s="848">
        <f>'Section 6 data country'!$G$14</f>
        <v>221.45500000000001</v>
      </c>
      <c r="D16" s="849">
        <f>'Section 6 data country'!$H$14</f>
        <v>365.37099999999998</v>
      </c>
      <c r="E16" s="214">
        <f>'Section 6 data country'!$I$14</f>
        <v>12.1</v>
      </c>
      <c r="F16" s="852">
        <f t="shared" si="0"/>
        <v>586.82600000000002</v>
      </c>
    </row>
    <row r="17" spans="2:6" ht="15" customHeight="1" x14ac:dyDescent="0.2">
      <c r="B17" s="710" t="s">
        <v>291</v>
      </c>
      <c r="C17" s="848">
        <f>'Section 6 data country'!$G$15</f>
        <v>2280.712</v>
      </c>
      <c r="D17" s="849">
        <f>'Section 6 data country'!$H$15</f>
        <v>2553.5990000000002</v>
      </c>
      <c r="E17" s="214">
        <f>'Section 6 data country'!$I$15</f>
        <v>7.05</v>
      </c>
      <c r="F17" s="852">
        <f t="shared" si="0"/>
        <v>4834.3109999999997</v>
      </c>
    </row>
    <row r="18" spans="2:6" ht="15" customHeight="1" x14ac:dyDescent="0.2">
      <c r="B18" s="710" t="s">
        <v>292</v>
      </c>
      <c r="C18" s="848">
        <f>'Section 6 data country'!$G$16</f>
        <v>687.40499999999997</v>
      </c>
      <c r="D18" s="849">
        <f>'Section 6 data country'!$H$16</f>
        <v>1442.4970000000001</v>
      </c>
      <c r="E18" s="214">
        <f>'Section 6 data country'!$I$16</f>
        <v>6.44</v>
      </c>
      <c r="F18" s="852">
        <f t="shared" si="0"/>
        <v>2129.902</v>
      </c>
    </row>
    <row r="19" spans="2:6" ht="15" customHeight="1" x14ac:dyDescent="0.2">
      <c r="B19" s="710" t="s">
        <v>293</v>
      </c>
      <c r="C19" s="848">
        <f>'Section 6 data country'!$G$17</f>
        <v>84.131</v>
      </c>
      <c r="D19" s="849">
        <f>'Section 6 data country'!$H$17</f>
        <v>1897.39</v>
      </c>
      <c r="E19" s="214">
        <f>'Section 6 data country'!$I$17</f>
        <v>8.01</v>
      </c>
      <c r="F19" s="852">
        <f t="shared" si="0"/>
        <v>1981.5210000000002</v>
      </c>
    </row>
    <row r="20" spans="2:6" ht="15" customHeight="1" x14ac:dyDescent="0.2">
      <c r="B20" s="710" t="s">
        <v>294</v>
      </c>
      <c r="C20" s="848">
        <f>'Section 6 data country'!$G$18</f>
        <v>447.87099999999998</v>
      </c>
      <c r="D20" s="849">
        <f>'Section 6 data country'!$H$18</f>
        <v>1566.8109999999999</v>
      </c>
      <c r="E20" s="214">
        <f>'Section 6 data country'!$I$18</f>
        <v>7.04</v>
      </c>
      <c r="F20" s="852">
        <f t="shared" si="0"/>
        <v>2014.6819999999998</v>
      </c>
    </row>
    <row r="21" spans="2:6" ht="15" customHeight="1" x14ac:dyDescent="0.2">
      <c r="B21" s="710" t="s">
        <v>295</v>
      </c>
      <c r="C21" s="848">
        <f>'Section 6 data country'!$G$19</f>
        <v>961.72400000000005</v>
      </c>
      <c r="D21" s="849">
        <f>'Section 6 data country'!$H$19</f>
        <v>2476.2080000000001</v>
      </c>
      <c r="E21" s="214">
        <f>'Section 6 data country'!$I$19</f>
        <v>8.6999999999999993</v>
      </c>
      <c r="F21" s="852">
        <f t="shared" si="0"/>
        <v>3437.9320000000002</v>
      </c>
    </row>
    <row r="22" spans="2:6" ht="15" customHeight="1" x14ac:dyDescent="0.2">
      <c r="B22" s="714" t="s">
        <v>296</v>
      </c>
      <c r="C22" s="850">
        <f>'Section 6 data country'!$G$20</f>
        <v>807.20299999999997</v>
      </c>
      <c r="D22" s="851">
        <f>'Section 6 data country'!$H$20</f>
        <v>1819.9090000000001</v>
      </c>
      <c r="E22" s="717">
        <f>'Section 6 data country'!$I$20</f>
        <v>5.77</v>
      </c>
      <c r="F22" s="853">
        <f t="shared" si="0"/>
        <v>2627.1120000000001</v>
      </c>
    </row>
    <row r="23" spans="2:6" ht="15" customHeight="1" x14ac:dyDescent="0.2">
      <c r="C23" s="522"/>
      <c r="D23" s="522"/>
      <c r="E23" s="522"/>
      <c r="F23" s="522"/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ADEBA470-2286-4F28-9970-2FAB3A4C3021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5" operator="between" id="{47CD8301-70DB-4C53-99AB-7BD0A7AE2A32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F23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199</v>
      </c>
      <c r="C3" t="s">
        <v>837</v>
      </c>
    </row>
    <row r="4" spans="2:6" ht="15" customHeight="1" x14ac:dyDescent="0.2">
      <c r="C4" s="522"/>
      <c r="D4" s="522"/>
      <c r="E4" s="522"/>
      <c r="F4" s="522"/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52" t="s">
        <v>78</v>
      </c>
      <c r="D6" s="1059" t="s">
        <v>79</v>
      </c>
      <c r="E6" s="1059"/>
      <c r="F6" s="953" t="s">
        <v>80</v>
      </c>
    </row>
    <row r="7" spans="2:6" ht="15" customHeight="1" x14ac:dyDescent="0.2">
      <c r="B7" s="1034"/>
      <c r="C7" s="1060" t="s">
        <v>835</v>
      </c>
      <c r="D7" s="1034"/>
      <c r="E7" s="706" t="s">
        <v>82</v>
      </c>
      <c r="F7" s="953" t="s">
        <v>835</v>
      </c>
    </row>
    <row r="8" spans="2:6" ht="15" customHeight="1" x14ac:dyDescent="0.2">
      <c r="B8" s="707" t="str">
        <f>Index!$B$4</f>
        <v>England</v>
      </c>
      <c r="C8" s="847">
        <f>'Section 6 data country'!$K$6</f>
        <v>4042.6770000000001</v>
      </c>
      <c r="D8" s="208">
        <f>'Section 6 data country'!$L$6</f>
        <v>72377.625</v>
      </c>
      <c r="E8" s="209">
        <f>'Section 6 data country'!$M$6</f>
        <v>1.4751991132146667</v>
      </c>
      <c r="F8" s="210">
        <f>SUM(C8,D8)</f>
        <v>76420.301999999996</v>
      </c>
    </row>
    <row r="9" spans="2:6" ht="15" customHeight="1" x14ac:dyDescent="0.2">
      <c r="B9" s="710" t="s">
        <v>286</v>
      </c>
      <c r="C9" s="848">
        <f>'Section 6 data country'!$K$7</f>
        <v>163.25899999999999</v>
      </c>
      <c r="D9" s="849">
        <f>'Section 6 data country'!$L$7</f>
        <v>3306.3009999999999</v>
      </c>
      <c r="E9" s="214">
        <f>'Section 6 data country'!$M$7</f>
        <v>5.88</v>
      </c>
      <c r="F9" s="852">
        <f t="shared" ref="F9:F22" si="0">SUM(C9,D9)</f>
        <v>3469.56</v>
      </c>
    </row>
    <row r="10" spans="2:6" ht="15" customHeight="1" x14ac:dyDescent="0.2">
      <c r="B10" s="710" t="s">
        <v>298</v>
      </c>
      <c r="C10" s="848">
        <f>'Section 6 data country'!$K$8</f>
        <v>135.53</v>
      </c>
      <c r="D10" s="849">
        <f>'Section 6 data country'!$L$8</f>
        <v>7517.1329999999998</v>
      </c>
      <c r="E10" s="214">
        <f>'Section 6 data country'!$M$8</f>
        <v>5.27</v>
      </c>
      <c r="F10" s="852">
        <f t="shared" si="0"/>
        <v>7652.6629999999996</v>
      </c>
    </row>
    <row r="11" spans="2:6" ht="15" customHeight="1" x14ac:dyDescent="0.2">
      <c r="B11" s="710" t="s">
        <v>287</v>
      </c>
      <c r="C11" s="848">
        <f>'Section 6 data country'!$K$9</f>
        <v>249.21</v>
      </c>
      <c r="D11" s="849">
        <f>'Section 6 data country'!$L$9</f>
        <v>6568.4470000000001</v>
      </c>
      <c r="E11" s="214">
        <f>'Section 6 data country'!$M$9</f>
        <v>4.7300000000000004</v>
      </c>
      <c r="F11" s="852">
        <f t="shared" si="0"/>
        <v>6817.6570000000002</v>
      </c>
    </row>
    <row r="12" spans="2:6" ht="15" customHeight="1" x14ac:dyDescent="0.2">
      <c r="B12" s="710" t="s">
        <v>288</v>
      </c>
      <c r="C12" s="848">
        <f>'Section 6 data country'!$K$10</f>
        <v>101.471</v>
      </c>
      <c r="D12" s="849">
        <f>'Section 6 data country'!$L$10</f>
        <v>2524.58</v>
      </c>
      <c r="E12" s="214">
        <f>'Section 6 data country'!$M$10</f>
        <v>8.49</v>
      </c>
      <c r="F12" s="852">
        <f t="shared" si="0"/>
        <v>2626.0509999999999</v>
      </c>
    </row>
    <row r="13" spans="2:6" ht="15" customHeight="1" x14ac:dyDescent="0.2">
      <c r="B13" s="710" t="s">
        <v>301</v>
      </c>
      <c r="C13" s="848">
        <f>'Section 6 data country'!$K$11</f>
        <v>23.902999999999999</v>
      </c>
      <c r="D13" s="849">
        <f>'Section 6 data country'!$L$11</f>
        <v>1745.9839999999999</v>
      </c>
      <c r="E13" s="214">
        <f>'Section 6 data country'!$M$11</f>
        <v>12.82</v>
      </c>
      <c r="F13" s="852">
        <f t="shared" si="0"/>
        <v>1769.8869999999999</v>
      </c>
    </row>
    <row r="14" spans="2:6" ht="15" customHeight="1" x14ac:dyDescent="0.2">
      <c r="B14" s="710" t="s">
        <v>302</v>
      </c>
      <c r="C14" s="848">
        <f>'Section 6 data country'!$K$12</f>
        <v>26.763999999999999</v>
      </c>
      <c r="D14" s="849">
        <f>'Section 6 data country'!$L$12</f>
        <v>2360.5540000000001</v>
      </c>
      <c r="E14" s="214">
        <f>'Section 6 data country'!$M$12</f>
        <v>13.32</v>
      </c>
      <c r="F14" s="852">
        <f t="shared" si="0"/>
        <v>2387.3180000000002</v>
      </c>
    </row>
    <row r="15" spans="2:6" ht="15" customHeight="1" x14ac:dyDescent="0.2">
      <c r="B15" s="710" t="s">
        <v>303</v>
      </c>
      <c r="C15" s="848">
        <f>'Section 6 data country'!$K$13</f>
        <v>170.20099999999999</v>
      </c>
      <c r="D15" s="849">
        <f>'Section 6 data country'!$L$13</f>
        <v>7322.9719999999998</v>
      </c>
      <c r="E15" s="214">
        <f>'Section 6 data country'!$M$13</f>
        <v>4.59</v>
      </c>
      <c r="F15" s="852">
        <f t="shared" si="0"/>
        <v>7493.1729999999998</v>
      </c>
    </row>
    <row r="16" spans="2:6" ht="15" customHeight="1" x14ac:dyDescent="0.2">
      <c r="B16" s="710" t="s">
        <v>304</v>
      </c>
      <c r="C16" s="848">
        <f>'Section 6 data country'!$K$14</f>
        <v>369.92200000000003</v>
      </c>
      <c r="D16" s="849">
        <f>'Section 6 data country'!$L$14</f>
        <v>2732.7860000000001</v>
      </c>
      <c r="E16" s="214">
        <f>'Section 6 data country'!$M$14</f>
        <v>6.69</v>
      </c>
      <c r="F16" s="852">
        <f t="shared" si="0"/>
        <v>3102.7080000000001</v>
      </c>
    </row>
    <row r="17" spans="2:6" ht="15" customHeight="1" x14ac:dyDescent="0.2">
      <c r="B17" s="710" t="s">
        <v>291</v>
      </c>
      <c r="C17" s="848">
        <f>'Section 6 data country'!$K$15</f>
        <v>60.192</v>
      </c>
      <c r="D17" s="849">
        <f>'Section 6 data country'!$L$15</f>
        <v>2543.8690000000001</v>
      </c>
      <c r="E17" s="214">
        <f>'Section 6 data country'!$M$15</f>
        <v>7.13</v>
      </c>
      <c r="F17" s="852">
        <f t="shared" si="0"/>
        <v>2604.0610000000001</v>
      </c>
    </row>
    <row r="18" spans="2:6" ht="15" customHeight="1" x14ac:dyDescent="0.2">
      <c r="B18" s="710" t="s">
        <v>292</v>
      </c>
      <c r="C18" s="848">
        <f>'Section 6 data country'!$K$16</f>
        <v>1615.575</v>
      </c>
      <c r="D18" s="849">
        <f>'Section 6 data country'!$L$16</f>
        <v>7801.0069999999996</v>
      </c>
      <c r="E18" s="214">
        <f>'Section 6 data country'!$M$16</f>
        <v>3.39</v>
      </c>
      <c r="F18" s="852">
        <f t="shared" si="0"/>
        <v>9416.5820000000003</v>
      </c>
    </row>
    <row r="19" spans="2:6" ht="15" customHeight="1" x14ac:dyDescent="0.2">
      <c r="B19" s="710" t="s">
        <v>293</v>
      </c>
      <c r="C19" s="848">
        <f>'Section 6 data country'!$K$17</f>
        <v>102.79</v>
      </c>
      <c r="D19" s="849">
        <f>'Section 6 data country'!$L$17</f>
        <v>7241.6869999999999</v>
      </c>
      <c r="E19" s="214">
        <f>'Section 6 data country'!$M$17</f>
        <v>4.62</v>
      </c>
      <c r="F19" s="852">
        <f t="shared" si="0"/>
        <v>7344.4769999999999</v>
      </c>
    </row>
    <row r="20" spans="2:6" ht="15" customHeight="1" x14ac:dyDescent="0.2">
      <c r="B20" s="710" t="s">
        <v>294</v>
      </c>
      <c r="C20" s="848">
        <f>'Section 6 data country'!$K$18</f>
        <v>356.79899999999998</v>
      </c>
      <c r="D20" s="849">
        <f>'Section 6 data country'!$L$18</f>
        <v>6892.7219999999998</v>
      </c>
      <c r="E20" s="214">
        <f>'Section 6 data country'!$M$18</f>
        <v>3.59</v>
      </c>
      <c r="F20" s="852">
        <f t="shared" si="0"/>
        <v>7249.5209999999997</v>
      </c>
    </row>
    <row r="21" spans="2:6" ht="15" customHeight="1" x14ac:dyDescent="0.2">
      <c r="B21" s="710" t="s">
        <v>295</v>
      </c>
      <c r="C21" s="848">
        <f>'Section 6 data country'!$K$19</f>
        <v>511.42599999999999</v>
      </c>
      <c r="D21" s="849">
        <f>'Section 6 data country'!$L$19</f>
        <v>8888.3379999999997</v>
      </c>
      <c r="E21" s="214">
        <f>'Section 6 data country'!$M$19</f>
        <v>4.88</v>
      </c>
      <c r="F21" s="852">
        <f t="shared" si="0"/>
        <v>9399.7639999999992</v>
      </c>
    </row>
    <row r="22" spans="2:6" ht="15" customHeight="1" x14ac:dyDescent="0.2">
      <c r="B22" s="714" t="s">
        <v>296</v>
      </c>
      <c r="C22" s="850">
        <f>'Section 6 data country'!$K$20</f>
        <v>155.63499999999999</v>
      </c>
      <c r="D22" s="851">
        <f>'Section 6 data country'!$L$20</f>
        <v>4931.2449999999999</v>
      </c>
      <c r="E22" s="717">
        <f>'Section 6 data country'!$M$20</f>
        <v>4.22</v>
      </c>
      <c r="F22" s="853">
        <f t="shared" si="0"/>
        <v>5086.88</v>
      </c>
    </row>
    <row r="23" spans="2:6" ht="15" customHeight="1" x14ac:dyDescent="0.2">
      <c r="C23" s="522"/>
      <c r="D23" s="522"/>
      <c r="E23" s="522"/>
      <c r="F23" s="522"/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F537081-ED26-4326-96AA-2D374EC11287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3" operator="between" id="{DD07B227-5B57-4E52-9957-813F17D6DE31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F22"/>
  <sheetViews>
    <sheetView zoomScaleNormal="100"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  <col min="7" max="7" width="9" customWidth="1"/>
  </cols>
  <sheetData>
    <row r="3" spans="2:6" ht="15" customHeight="1" x14ac:dyDescent="0.2">
      <c r="B3" t="s">
        <v>201</v>
      </c>
      <c r="C3" t="s">
        <v>838</v>
      </c>
    </row>
    <row r="4" spans="2:6" ht="15" customHeight="1" x14ac:dyDescent="0.2">
      <c r="C4" s="522"/>
      <c r="D4" s="522"/>
      <c r="E4" s="522"/>
      <c r="F4" s="522"/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827" t="s">
        <v>78</v>
      </c>
      <c r="D6" s="1059" t="s">
        <v>79</v>
      </c>
      <c r="E6" s="1059"/>
      <c r="F6" s="828" t="s">
        <v>80</v>
      </c>
    </row>
    <row r="7" spans="2:6" ht="15" customHeight="1" x14ac:dyDescent="0.2">
      <c r="B7" s="1034"/>
      <c r="C7" s="1060" t="s">
        <v>835</v>
      </c>
      <c r="D7" s="1034"/>
      <c r="E7" s="706" t="s">
        <v>82</v>
      </c>
      <c r="F7" s="953" t="s">
        <v>835</v>
      </c>
    </row>
    <row r="8" spans="2:6" ht="15" customHeight="1" x14ac:dyDescent="0.2">
      <c r="B8" s="707" t="str">
        <f>Index!$B$4</f>
        <v>England</v>
      </c>
      <c r="C8" s="847">
        <f>'Section 6 data country'!$C$6</f>
        <v>12689.88</v>
      </c>
      <c r="D8" s="208">
        <f>'Section 6 data country'!$D$6</f>
        <v>91536.558999999994</v>
      </c>
      <c r="E8" s="209">
        <f>'Section 6 data country'!$E$6</f>
        <v>1.2306123466278243</v>
      </c>
      <c r="F8" s="210">
        <f>SUM(C8,D8)</f>
        <v>104226.439</v>
      </c>
    </row>
    <row r="9" spans="2:6" ht="15" customHeight="1" x14ac:dyDescent="0.2">
      <c r="B9" s="710" t="s">
        <v>286</v>
      </c>
      <c r="C9" s="848">
        <f>'Section 6 data country'!$C$7</f>
        <v>1084.1869999999999</v>
      </c>
      <c r="D9" s="849">
        <f>'Section 6 data country'!$D$7</f>
        <v>5131.335</v>
      </c>
      <c r="E9" s="214">
        <f>'Section 6 data country'!$E$7</f>
        <v>4.2699999999999996</v>
      </c>
      <c r="F9" s="852">
        <f t="shared" ref="F9:F22" si="0">SUM(C9,D9)</f>
        <v>6215.5219999999999</v>
      </c>
    </row>
    <row r="10" spans="2:6" ht="15" customHeight="1" x14ac:dyDescent="0.2">
      <c r="B10" s="710" t="s">
        <v>298</v>
      </c>
      <c r="C10" s="848">
        <f>'Section 6 data country'!$C$8</f>
        <v>716.51099999999997</v>
      </c>
      <c r="D10" s="849">
        <f>'Section 6 data country'!$D$8</f>
        <v>9417.15</v>
      </c>
      <c r="E10" s="214">
        <f>'Section 6 data country'!$E$8</f>
        <v>4.3899999999999997</v>
      </c>
      <c r="F10" s="852">
        <f t="shared" si="0"/>
        <v>10133.661</v>
      </c>
    </row>
    <row r="11" spans="2:6" ht="15" customHeight="1" x14ac:dyDescent="0.2">
      <c r="B11" s="710" t="s">
        <v>287</v>
      </c>
      <c r="C11" s="848">
        <f>'Section 6 data country'!$C$9</f>
        <v>1336.0809999999999</v>
      </c>
      <c r="D11" s="849">
        <f>'Section 6 data country'!$D$9</f>
        <v>7854.8249999999998</v>
      </c>
      <c r="E11" s="214">
        <f>'Section 6 data country'!$E$9</f>
        <v>3.98</v>
      </c>
      <c r="F11" s="852">
        <f t="shared" si="0"/>
        <v>9190.905999999999</v>
      </c>
    </row>
    <row r="12" spans="2:6" ht="15" customHeight="1" x14ac:dyDescent="0.2">
      <c r="B12" s="710" t="s">
        <v>288</v>
      </c>
      <c r="C12" s="848">
        <f>'Section 6 data country'!$C$10</f>
        <v>441.72</v>
      </c>
      <c r="D12" s="849">
        <f>'Section 6 data country'!$D$10</f>
        <v>3284.8690000000001</v>
      </c>
      <c r="E12" s="214">
        <f>'Section 6 data country'!$E$10</f>
        <v>6.66</v>
      </c>
      <c r="F12" s="852">
        <f t="shared" si="0"/>
        <v>3726.5889999999999</v>
      </c>
    </row>
    <row r="13" spans="2:6" ht="15" customHeight="1" x14ac:dyDescent="0.2">
      <c r="B13" s="710" t="s">
        <v>301</v>
      </c>
      <c r="C13" s="848">
        <f>'Section 6 data country'!$C$11</f>
        <v>63.929000000000002</v>
      </c>
      <c r="D13" s="849">
        <f>'Section 6 data country'!$D$11</f>
        <v>1929.6859999999999</v>
      </c>
      <c r="E13" s="214">
        <f>'Section 6 data country'!$E$11</f>
        <v>11.6</v>
      </c>
      <c r="F13" s="852">
        <f t="shared" si="0"/>
        <v>1993.615</v>
      </c>
    </row>
    <row r="14" spans="2:6" ht="15" customHeight="1" x14ac:dyDescent="0.2">
      <c r="B14" s="710" t="s">
        <v>302</v>
      </c>
      <c r="C14" s="848">
        <f>'Section 6 data country'!$C$12</f>
        <v>42.38</v>
      </c>
      <c r="D14" s="849">
        <f>'Section 6 data country'!$D$12</f>
        <v>2638.2449999999999</v>
      </c>
      <c r="E14" s="214">
        <f>'Section 6 data country'!$E$12</f>
        <v>12.02</v>
      </c>
      <c r="F14" s="852">
        <f t="shared" si="0"/>
        <v>2680.625</v>
      </c>
    </row>
    <row r="15" spans="2:6" ht="15" customHeight="1" x14ac:dyDescent="0.2">
      <c r="B15" s="710" t="s">
        <v>303</v>
      </c>
      <c r="C15" s="848">
        <f>'Section 6 data country'!$C$13</f>
        <v>342.23200000000003</v>
      </c>
      <c r="D15" s="849">
        <f>'Section 6 data country'!$D$13</f>
        <v>8167.3969999999999</v>
      </c>
      <c r="E15" s="214">
        <f>'Section 6 data country'!$E$13</f>
        <v>4.1399999999999997</v>
      </c>
      <c r="F15" s="852">
        <f t="shared" si="0"/>
        <v>8509.6290000000008</v>
      </c>
    </row>
    <row r="16" spans="2:6" ht="15" customHeight="1" x14ac:dyDescent="0.2">
      <c r="B16" s="710" t="s">
        <v>304</v>
      </c>
      <c r="C16" s="848">
        <f>'Section 6 data country'!$C$14</f>
        <v>591.37699999999995</v>
      </c>
      <c r="D16" s="849">
        <f>'Section 6 data country'!$D$14</f>
        <v>3102.527</v>
      </c>
      <c r="E16" s="214">
        <f>'Section 6 data country'!$E$14</f>
        <v>5.84</v>
      </c>
      <c r="F16" s="852">
        <f t="shared" si="0"/>
        <v>3693.904</v>
      </c>
    </row>
    <row r="17" spans="2:6" ht="15" customHeight="1" x14ac:dyDescent="0.2">
      <c r="B17" s="710" t="s">
        <v>291</v>
      </c>
      <c r="C17" s="848">
        <f>'Section 6 data country'!$C$15</f>
        <v>2340.904</v>
      </c>
      <c r="D17" s="849">
        <f>'Section 6 data country'!$D$15</f>
        <v>5103.7020000000002</v>
      </c>
      <c r="E17" s="214">
        <f>'Section 6 data country'!$E$15</f>
        <v>4.82</v>
      </c>
      <c r="F17" s="852">
        <f t="shared" si="0"/>
        <v>7444.6059999999998</v>
      </c>
    </row>
    <row r="18" spans="2:6" ht="15" customHeight="1" x14ac:dyDescent="0.2">
      <c r="B18" s="710" t="s">
        <v>292</v>
      </c>
      <c r="C18" s="848">
        <f>'Section 6 data country'!$C$16</f>
        <v>2302.98</v>
      </c>
      <c r="D18" s="849">
        <f>'Section 6 data country'!$D$16</f>
        <v>9250.0349999999999</v>
      </c>
      <c r="E18" s="214">
        <f>'Section 6 data country'!$E$16</f>
        <v>2.95</v>
      </c>
      <c r="F18" s="852">
        <f t="shared" si="0"/>
        <v>11553.014999999999</v>
      </c>
    </row>
    <row r="19" spans="2:6" ht="15" customHeight="1" x14ac:dyDescent="0.2">
      <c r="B19" s="710" t="s">
        <v>293</v>
      </c>
      <c r="C19" s="848">
        <f>'Section 6 data country'!$C$17</f>
        <v>186.92099999999999</v>
      </c>
      <c r="D19" s="849">
        <f>'Section 6 data country'!$D$17</f>
        <v>9122.7270000000008</v>
      </c>
      <c r="E19" s="214">
        <f>'Section 6 data country'!$E$17</f>
        <v>3.92</v>
      </c>
      <c r="F19" s="852">
        <f t="shared" si="0"/>
        <v>9309.648000000001</v>
      </c>
    </row>
    <row r="20" spans="2:6" ht="15" customHeight="1" x14ac:dyDescent="0.2">
      <c r="B20" s="710" t="s">
        <v>294</v>
      </c>
      <c r="C20" s="848">
        <f>'Section 6 data country'!$C$18</f>
        <v>1473.15</v>
      </c>
      <c r="D20" s="849">
        <f>'Section 6 data country'!$D$18</f>
        <v>8449.7440000000006</v>
      </c>
      <c r="E20" s="214">
        <f>'Section 6 data country'!$E$18</f>
        <v>3.07</v>
      </c>
      <c r="F20" s="852">
        <f t="shared" si="0"/>
        <v>9922.8940000000002</v>
      </c>
    </row>
    <row r="21" spans="2:6" ht="15" customHeight="1" x14ac:dyDescent="0.2">
      <c r="B21" s="710" t="s">
        <v>295</v>
      </c>
      <c r="C21" s="848">
        <f>'Section 6 data country'!$C$19</f>
        <v>804.67</v>
      </c>
      <c r="D21" s="849">
        <f>'Section 6 data country'!$D$19</f>
        <v>11334.34</v>
      </c>
      <c r="E21" s="214">
        <f>'Section 6 data country'!$E$19</f>
        <v>4.21</v>
      </c>
      <c r="F21" s="852">
        <f t="shared" si="0"/>
        <v>12139.01</v>
      </c>
    </row>
    <row r="22" spans="2:6" ht="15" customHeight="1" x14ac:dyDescent="0.2">
      <c r="B22" s="714" t="s">
        <v>296</v>
      </c>
      <c r="C22" s="850">
        <f>'Section 6 data country'!$C$20</f>
        <v>962.83799999999997</v>
      </c>
      <c r="D22" s="851">
        <f>'Section 6 data country'!$D$20</f>
        <v>6749.9769999999999</v>
      </c>
      <c r="E22" s="717">
        <f>'Section 6 data country'!$E$20</f>
        <v>3.27</v>
      </c>
      <c r="F22" s="853">
        <f t="shared" si="0"/>
        <v>7712.8149999999996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E829683-E8B9-41E1-9140-64542C8197E6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9189A50F-53CF-4252-8615-0C37FCF8EF40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Index!$E$61</f>
        <v>Existing woodland management information and economic viability data (PS only)</v>
      </c>
    </row>
  </sheetData>
  <hyperlinks>
    <hyperlink ref="A1" location="Index!B43" display="Return to 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1:AK80"/>
  <sheetViews>
    <sheetView zoomScale="80" zoomScaleNormal="80" workbookViewId="0"/>
  </sheetViews>
  <sheetFormatPr defaultRowHeight="15" customHeight="1" x14ac:dyDescent="0.2"/>
  <cols>
    <col min="2" max="2" width="39.125" bestFit="1" customWidth="1"/>
    <col min="3" max="4" width="15.625" customWidth="1"/>
    <col min="5" max="5" width="6.625" customWidth="1"/>
    <col min="6" max="6" width="15.625" customWidth="1"/>
    <col min="7" max="8" width="12.625" customWidth="1"/>
    <col min="9" max="9" width="6.625" customWidth="1"/>
    <col min="10" max="12" width="12.625" customWidth="1"/>
    <col min="13" max="13" width="6.625" customWidth="1"/>
    <col min="14" max="14" width="12.625" customWidth="1"/>
    <col min="16" max="18" width="10.625" customWidth="1"/>
  </cols>
  <sheetData>
    <row r="1" spans="2:37" ht="15" customHeight="1" x14ac:dyDescent="0.2">
      <c r="U1" t="s">
        <v>752</v>
      </c>
    </row>
    <row r="2" spans="2:37" ht="15" customHeight="1" thickBot="1" x14ac:dyDescent="0.25"/>
    <row r="3" spans="2:37" ht="15" customHeight="1" x14ac:dyDescent="0.2">
      <c r="B3" s="1000" t="s">
        <v>753</v>
      </c>
      <c r="C3" s="1002" t="s">
        <v>106</v>
      </c>
      <c r="D3" s="1002"/>
      <c r="E3" s="1002"/>
      <c r="F3" s="1002"/>
      <c r="G3" s="1002" t="s">
        <v>92</v>
      </c>
      <c r="H3" s="1002"/>
      <c r="I3" s="1002"/>
      <c r="J3" s="1002"/>
      <c r="K3" s="1002" t="s">
        <v>105</v>
      </c>
      <c r="L3" s="1002"/>
      <c r="M3" s="1002"/>
      <c r="N3" s="1002"/>
      <c r="P3" s="1003" t="s">
        <v>754</v>
      </c>
      <c r="Q3" s="996" t="s">
        <v>755</v>
      </c>
      <c r="R3" s="998" t="s">
        <v>756</v>
      </c>
      <c r="U3" s="1000" t="s">
        <v>753</v>
      </c>
      <c r="V3" s="1002" t="s">
        <v>106</v>
      </c>
      <c r="W3" s="1002"/>
      <c r="X3" s="1002"/>
      <c r="Y3" s="1002"/>
      <c r="Z3" s="1002" t="s">
        <v>92</v>
      </c>
      <c r="AA3" s="1002"/>
      <c r="AB3" s="1002"/>
      <c r="AC3" s="1002"/>
      <c r="AD3" s="1002" t="s">
        <v>105</v>
      </c>
      <c r="AE3" s="1002"/>
      <c r="AF3" s="1002"/>
      <c r="AG3" s="1002"/>
      <c r="AI3" s="1003" t="s">
        <v>754</v>
      </c>
      <c r="AJ3" s="996" t="s">
        <v>755</v>
      </c>
      <c r="AK3" s="998" t="s">
        <v>756</v>
      </c>
    </row>
    <row r="4" spans="2:37" ht="15" customHeight="1" x14ac:dyDescent="0.2">
      <c r="B4" s="1000"/>
      <c r="C4" s="653" t="s">
        <v>78</v>
      </c>
      <c r="D4" s="653" t="s">
        <v>309</v>
      </c>
      <c r="E4" s="653"/>
      <c r="F4" s="653" t="s">
        <v>80</v>
      </c>
      <c r="G4" s="653" t="s">
        <v>78</v>
      </c>
      <c r="H4" s="653" t="s">
        <v>309</v>
      </c>
      <c r="I4" s="653"/>
      <c r="J4" s="653" t="s">
        <v>80</v>
      </c>
      <c r="K4" s="653" t="s">
        <v>78</v>
      </c>
      <c r="L4" s="653" t="s">
        <v>309</v>
      </c>
      <c r="M4" s="653"/>
      <c r="N4" s="653" t="s">
        <v>80</v>
      </c>
      <c r="P4" s="1004"/>
      <c r="Q4" s="997"/>
      <c r="R4" s="999"/>
      <c r="U4" s="1000"/>
      <c r="V4" s="653" t="s">
        <v>78</v>
      </c>
      <c r="W4" s="653" t="s">
        <v>309</v>
      </c>
      <c r="X4" s="653"/>
      <c r="Y4" s="653" t="s">
        <v>80</v>
      </c>
      <c r="Z4" s="653" t="s">
        <v>78</v>
      </c>
      <c r="AA4" s="653" t="s">
        <v>309</v>
      </c>
      <c r="AB4" s="653"/>
      <c r="AC4" s="653" t="s">
        <v>80</v>
      </c>
      <c r="AD4" s="653" t="s">
        <v>78</v>
      </c>
      <c r="AE4" s="653" t="s">
        <v>309</v>
      </c>
      <c r="AF4" s="653"/>
      <c r="AG4" s="653" t="s">
        <v>80</v>
      </c>
      <c r="AI4" s="1004"/>
      <c r="AJ4" s="997"/>
      <c r="AK4" s="999"/>
    </row>
    <row r="5" spans="2:37" ht="15" customHeight="1" thickBot="1" x14ac:dyDescent="0.25">
      <c r="B5" s="1001"/>
      <c r="C5" s="654" t="s">
        <v>762</v>
      </c>
      <c r="D5" s="654" t="s">
        <v>762</v>
      </c>
      <c r="E5" s="655" t="s">
        <v>82</v>
      </c>
      <c r="F5" s="654" t="s">
        <v>762</v>
      </c>
      <c r="G5" s="654" t="s">
        <v>762</v>
      </c>
      <c r="H5" s="654" t="s">
        <v>762</v>
      </c>
      <c r="I5" s="655" t="s">
        <v>82</v>
      </c>
      <c r="J5" s="654" t="s">
        <v>762</v>
      </c>
      <c r="K5" s="654" t="s">
        <v>762</v>
      </c>
      <c r="L5" s="654" t="s">
        <v>762</v>
      </c>
      <c r="M5" s="655" t="s">
        <v>82</v>
      </c>
      <c r="N5" s="654" t="s">
        <v>762</v>
      </c>
      <c r="P5" s="656" t="s">
        <v>310</v>
      </c>
      <c r="Q5" s="657" t="s">
        <v>310</v>
      </c>
      <c r="R5" s="658" t="s">
        <v>310</v>
      </c>
      <c r="U5" s="1001"/>
      <c r="V5" s="654" t="s">
        <v>757</v>
      </c>
      <c r="W5" s="654" t="s">
        <v>757</v>
      </c>
      <c r="X5" s="655" t="s">
        <v>82</v>
      </c>
      <c r="Y5" s="654" t="s">
        <v>757</v>
      </c>
      <c r="Z5" s="654" t="s">
        <v>757</v>
      </c>
      <c r="AA5" s="654" t="s">
        <v>757</v>
      </c>
      <c r="AB5" s="655" t="s">
        <v>82</v>
      </c>
      <c r="AC5" s="654" t="s">
        <v>757</v>
      </c>
      <c r="AD5" s="654" t="s">
        <v>757</v>
      </c>
      <c r="AE5" s="654" t="s">
        <v>757</v>
      </c>
      <c r="AF5" s="655" t="s">
        <v>82</v>
      </c>
      <c r="AG5" s="654" t="s">
        <v>757</v>
      </c>
      <c r="AI5" s="656" t="s">
        <v>310</v>
      </c>
      <c r="AJ5" s="657" t="s">
        <v>310</v>
      </c>
      <c r="AK5" s="658" t="s">
        <v>310</v>
      </c>
    </row>
    <row r="6" spans="2:37" ht="15" customHeight="1" x14ac:dyDescent="0.2">
      <c r="B6" s="659" t="s">
        <v>721</v>
      </c>
      <c r="C6" s="916">
        <v>25379.763999999999</v>
      </c>
      <c r="D6" s="917">
        <v>183073.11799999999</v>
      </c>
      <c r="E6" s="662">
        <v>1.2306123508003832</v>
      </c>
      <c r="F6" s="699">
        <f>C6+D6</f>
        <v>208452.88199999998</v>
      </c>
      <c r="G6" s="916">
        <v>17294.406999999999</v>
      </c>
      <c r="H6" s="917">
        <v>38364.232000000004</v>
      </c>
      <c r="I6" s="662">
        <v>2.3163705870022167</v>
      </c>
      <c r="J6" s="699">
        <f>G6+H6</f>
        <v>55658.639000000003</v>
      </c>
      <c r="K6" s="922">
        <v>8085.3559999999998</v>
      </c>
      <c r="L6" s="917">
        <v>144755.245</v>
      </c>
      <c r="M6" s="662">
        <v>1.4751990990213537</v>
      </c>
      <c r="N6" s="699">
        <f>K6+L6</f>
        <v>152840.601</v>
      </c>
      <c r="P6" s="665">
        <f>D6*E6/100</f>
        <v>2252.9204011033594</v>
      </c>
      <c r="Q6" s="472">
        <f>H6*I6/100</f>
        <v>888.65778597729241</v>
      </c>
      <c r="R6" s="666">
        <f>L6*M6/100</f>
        <v>2135.4280700261529</v>
      </c>
      <c r="U6" s="659" t="s">
        <v>721</v>
      </c>
      <c r="V6" s="660"/>
      <c r="W6" s="661"/>
      <c r="X6" s="662"/>
      <c r="Y6" s="667"/>
      <c r="Z6" s="660"/>
      <c r="AA6" s="661"/>
      <c r="AB6" s="662"/>
      <c r="AC6" s="667"/>
      <c r="AD6" s="664"/>
      <c r="AE6" s="661"/>
      <c r="AF6" s="662"/>
      <c r="AG6" s="667"/>
      <c r="AI6" s="665">
        <f>W6*X6/100</f>
        <v>0</v>
      </c>
      <c r="AJ6" s="472">
        <f>AA6*AB6/100</f>
        <v>0</v>
      </c>
      <c r="AK6" s="666">
        <f>AE6*AF6/100</f>
        <v>0</v>
      </c>
    </row>
    <row r="7" spans="2:37" ht="15" customHeight="1" x14ac:dyDescent="0.2">
      <c r="B7" s="668" t="s">
        <v>286</v>
      </c>
      <c r="C7" s="918">
        <v>2168.375</v>
      </c>
      <c r="D7" s="919">
        <v>10262.669</v>
      </c>
      <c r="E7" s="671">
        <v>4.2699999999999996</v>
      </c>
      <c r="F7" s="699">
        <f>C7+D7</f>
        <v>12431.044</v>
      </c>
      <c r="G7" s="918">
        <v>1841.8579999999999</v>
      </c>
      <c r="H7" s="919">
        <v>3641.7550000000001</v>
      </c>
      <c r="I7" s="671">
        <v>6.86</v>
      </c>
      <c r="J7" s="699">
        <f>G7+H7</f>
        <v>5483.6130000000003</v>
      </c>
      <c r="K7" s="923">
        <v>326.517</v>
      </c>
      <c r="L7" s="919">
        <v>6612.6009999999997</v>
      </c>
      <c r="M7" s="671">
        <v>5.88</v>
      </c>
      <c r="N7" s="699">
        <f>K7+L7</f>
        <v>6939.1179999999995</v>
      </c>
      <c r="P7" s="665">
        <f>D7*E7/100</f>
        <v>438.21596629999993</v>
      </c>
      <c r="Q7" s="472">
        <f t="shared" ref="Q7:Q20" si="0">H7*I7/100</f>
        <v>249.82439300000001</v>
      </c>
      <c r="R7" s="666">
        <f t="shared" ref="R7:R20" si="1">L7*M7/100</f>
        <v>388.82093880000002</v>
      </c>
      <c r="U7" s="668" t="str">
        <f>INDEX($B$7:$N$20,MATCH(1,$F$47:$F$60,FALSE),1)</f>
        <v>West Midlands</v>
      </c>
      <c r="V7" s="697">
        <f>INDEX($B$7:$N$20,MATCH(1,$F$47:$F$60,FALSE),2)</f>
        <v>2946.3009999999999</v>
      </c>
      <c r="W7" s="698">
        <f>INDEX($B$7:$N$20,MATCH(1,$F$47:$F$60,FALSE),3)</f>
        <v>22668.681</v>
      </c>
      <c r="X7" s="675">
        <f>INDEX($B$7:$N$20,MATCH(1,$F$47:$F$60,FALSE),4)</f>
        <v>4.21</v>
      </c>
      <c r="Y7" s="699">
        <f>INDEX($B$7:$N$20,MATCH(1,$F$47:$F$60,FALSE),5)</f>
        <v>25614.982</v>
      </c>
      <c r="Z7" s="697">
        <f>INDEX($B$7:$N$20,MATCH(1,$F$47:$F$60,FALSE),6)</f>
        <v>1923.4480000000001</v>
      </c>
      <c r="AA7" s="698">
        <f>INDEX($B$7:$N$20,MATCH(1,$F$47:$F$60,FALSE),7)</f>
        <v>4952.415</v>
      </c>
      <c r="AB7" s="675">
        <f>INDEX($B$7:$N$20,MATCH(1,$F$47:$F$60,FALSE),8)</f>
        <v>8.6999999999999993</v>
      </c>
      <c r="AC7" s="699">
        <f>INDEX($B$7:$N$20,MATCH(1,$F$47:$F$60,FALSE),9)</f>
        <v>6875.8630000000003</v>
      </c>
      <c r="AD7" s="925">
        <f>INDEX($B$7:$N$20,MATCH(1,$F$47:$F$60,FALSE),10)</f>
        <v>1022.853</v>
      </c>
      <c r="AE7" s="698">
        <f>INDEX($B$7:$N$20,MATCH(1,$F$47:$F$60,FALSE),11)</f>
        <v>17776.674999999999</v>
      </c>
      <c r="AF7" s="675">
        <f>INDEX($B$7:$N$20,MATCH(1,$F$47:$F$60,FALSE),12)</f>
        <v>4.88</v>
      </c>
      <c r="AG7" s="699">
        <f>INDEX($B$7:$N$20,MATCH(1,$F$47:$F$60,FALSE),13)</f>
        <v>18799.527999999998</v>
      </c>
      <c r="AI7" s="665">
        <f>W7*X7/100</f>
        <v>954.35147010000003</v>
      </c>
      <c r="AJ7" s="472">
        <f t="shared" ref="AJ7:AJ20" si="2">AA7*AB7/100</f>
        <v>430.86010499999998</v>
      </c>
      <c r="AK7" s="666">
        <f t="shared" ref="AK7:AK20" si="3">AE7*AF7/100</f>
        <v>867.50174000000004</v>
      </c>
    </row>
    <row r="8" spans="2:37" ht="15" customHeight="1" x14ac:dyDescent="0.2">
      <c r="B8" s="668" t="s">
        <v>307</v>
      </c>
      <c r="C8" s="918">
        <v>1433.021</v>
      </c>
      <c r="D8" s="919">
        <v>18834.298999999999</v>
      </c>
      <c r="E8" s="671">
        <v>4.3899999999999997</v>
      </c>
      <c r="F8" s="699">
        <f t="shared" ref="F8:F20" si="4">C8+D8</f>
        <v>20267.32</v>
      </c>
      <c r="G8" s="918">
        <v>1161.96</v>
      </c>
      <c r="H8" s="919">
        <v>3782.7379999999998</v>
      </c>
      <c r="I8" s="671">
        <v>6.76</v>
      </c>
      <c r="J8" s="699">
        <f t="shared" ref="J8:J20" si="5">G8+H8</f>
        <v>4944.6980000000003</v>
      </c>
      <c r="K8" s="923">
        <v>271.06099999999998</v>
      </c>
      <c r="L8" s="919">
        <v>15034.264999999999</v>
      </c>
      <c r="M8" s="671">
        <v>5.27</v>
      </c>
      <c r="N8" s="699">
        <f t="shared" ref="N8:N20" si="6">K8+L8</f>
        <v>15305.325999999999</v>
      </c>
      <c r="P8" s="665">
        <f t="shared" ref="P8:P20" si="7">D8*E8/100</f>
        <v>826.82572609999988</v>
      </c>
      <c r="Q8" s="472">
        <f t="shared" si="0"/>
        <v>255.71308879999998</v>
      </c>
      <c r="R8" s="666">
        <f t="shared" si="1"/>
        <v>792.30576549999978</v>
      </c>
      <c r="U8" s="668" t="str">
        <f>INDEX($B$7:$N$20,MATCH(2,$F$47:$F$60,FALSE),1)</f>
        <v>Solent and South Downs</v>
      </c>
      <c r="V8" s="697">
        <f>INDEX($B$7:$N$20,MATCH(2,$F$47:$F$60,FALSE),2)</f>
        <v>4605.9610000000002</v>
      </c>
      <c r="W8" s="698">
        <f>INDEX($B$7:$N$20,MATCH(2,$F$47:$F$60,FALSE),3)</f>
        <v>18500.07</v>
      </c>
      <c r="X8" s="675">
        <f>INDEX($B$7:$N$20,MATCH(2,$F$47:$F$60,FALSE),4)</f>
        <v>2.95</v>
      </c>
      <c r="Y8" s="699">
        <f>INDEX($B$7:$N$20,MATCH(2,$F$47:$F$60,FALSE),5)</f>
        <v>23106.030999999999</v>
      </c>
      <c r="Z8" s="697">
        <f>INDEX($B$7:$N$20,MATCH(2,$F$47:$F$60,FALSE),6)</f>
        <v>1374.81</v>
      </c>
      <c r="AA8" s="698">
        <f>INDEX($B$7:$N$20,MATCH(2,$F$47:$F$60,FALSE),7)</f>
        <v>2884.9929999999999</v>
      </c>
      <c r="AB8" s="675">
        <f>INDEX($B$7:$N$20,MATCH(2,$F$47:$F$60,FALSE),8)</f>
        <v>6.44</v>
      </c>
      <c r="AC8" s="699">
        <f>INDEX($B$7:$N$20,MATCH(2,$F$47:$F$60,FALSE),9)</f>
        <v>4259.8029999999999</v>
      </c>
      <c r="AD8" s="925">
        <f>INDEX($B$7:$N$20,MATCH(2,$F$47:$F$60,FALSE),10)</f>
        <v>3231.15</v>
      </c>
      <c r="AE8" s="698">
        <f>INDEX($B$7:$N$20,MATCH(2,$F$47:$F$60,FALSE),11)</f>
        <v>15602.014999999999</v>
      </c>
      <c r="AF8" s="675">
        <f>INDEX($B$7:$N$20,MATCH(2,$F$47:$F$60,FALSE),12)</f>
        <v>3.39</v>
      </c>
      <c r="AG8" s="699">
        <f>INDEX($B$7:$N$20,MATCH(2,$F$47:$F$60,FALSE),13)</f>
        <v>18833.165000000001</v>
      </c>
      <c r="AI8" s="665">
        <f t="shared" ref="AI8:AI20" si="8">W8*X8/100</f>
        <v>545.75206500000002</v>
      </c>
      <c r="AJ8" s="472">
        <f t="shared" si="2"/>
        <v>185.79354920000003</v>
      </c>
      <c r="AK8" s="666">
        <f t="shared" si="3"/>
        <v>528.90830849999998</v>
      </c>
    </row>
    <row r="9" spans="2:37" ht="15" customHeight="1" x14ac:dyDescent="0.2">
      <c r="B9" s="668" t="s">
        <v>287</v>
      </c>
      <c r="C9" s="918">
        <v>2672.1619999999998</v>
      </c>
      <c r="D9" s="919">
        <v>15709.65</v>
      </c>
      <c r="E9" s="671">
        <v>3.98</v>
      </c>
      <c r="F9" s="699">
        <f t="shared" si="4"/>
        <v>18381.811999999998</v>
      </c>
      <c r="G9" s="918">
        <v>2173.7420000000002</v>
      </c>
      <c r="H9" s="919">
        <v>2568.0079999999998</v>
      </c>
      <c r="I9" s="671">
        <v>7.75</v>
      </c>
      <c r="J9" s="699">
        <f t="shared" si="5"/>
        <v>4741.75</v>
      </c>
      <c r="K9" s="923">
        <v>498.42</v>
      </c>
      <c r="L9" s="919">
        <v>13136.893</v>
      </c>
      <c r="M9" s="671">
        <v>4.7300000000000004</v>
      </c>
      <c r="N9" s="699">
        <f t="shared" si="6"/>
        <v>13635.313</v>
      </c>
      <c r="P9" s="665">
        <f t="shared" si="7"/>
        <v>625.24406999999997</v>
      </c>
      <c r="Q9" s="472">
        <f t="shared" si="0"/>
        <v>199.02061999999998</v>
      </c>
      <c r="R9" s="666">
        <f t="shared" si="1"/>
        <v>621.37503890000005</v>
      </c>
      <c r="U9" s="668" t="str">
        <f>INDEX($B$7:$N$20,MATCH(3,$F$47:$F$60,FALSE),1)</f>
        <v>Devon Cornwall and the Isles of Scilly</v>
      </c>
      <c r="V9" s="697">
        <f>INDEX($B$7:$N$20,MATCH(3,$F$47:$F$60,FALSE),2)</f>
        <v>1433.021</v>
      </c>
      <c r="W9" s="698">
        <f>INDEX($B$7:$N$20,MATCH(3,$F$47:$F$60,FALSE),3)</f>
        <v>18834.298999999999</v>
      </c>
      <c r="X9" s="675">
        <f>INDEX($B$7:$N$20,MATCH(3,$F$47:$F$60,FALSE),4)</f>
        <v>4.3899999999999997</v>
      </c>
      <c r="Y9" s="699">
        <f>INDEX($B$7:$N$20,MATCH(3,$F$47:$F$60,FALSE),5)</f>
        <v>20267.32</v>
      </c>
      <c r="Z9" s="697">
        <f>INDEX($B$7:$N$20,MATCH(3,$F$47:$F$60,FALSE),6)</f>
        <v>1161.96</v>
      </c>
      <c r="AA9" s="698">
        <f>INDEX($B$7:$N$20,MATCH(3,$F$47:$F$60,FALSE),7)</f>
        <v>3782.7379999999998</v>
      </c>
      <c r="AB9" s="675">
        <f>INDEX($B$7:$N$20,MATCH(3,$F$47:$F$60,FALSE),8)</f>
        <v>6.76</v>
      </c>
      <c r="AC9" s="699">
        <f>INDEX($B$7:$N$20,MATCH(3,$F$47:$F$60,FALSE),9)</f>
        <v>4944.6980000000003</v>
      </c>
      <c r="AD9" s="925">
        <f>INDEX($B$7:$N$20,MATCH(3,$F$47:$F$60,FALSE),10)</f>
        <v>271.06099999999998</v>
      </c>
      <c r="AE9" s="698">
        <f>INDEX($B$7:$N$20,MATCH(3,$F$47:$F$60,FALSE),11)</f>
        <v>15034.264999999999</v>
      </c>
      <c r="AF9" s="675">
        <f>INDEX($B$7:$N$20,MATCH(3,$F$47:$F$60,FALSE),12)</f>
        <v>5.27</v>
      </c>
      <c r="AG9" s="699">
        <f>INDEX($B$7:$N$20,MATCH(3,$F$47:$F$60,FALSE),13)</f>
        <v>15305.325999999999</v>
      </c>
      <c r="AI9" s="665">
        <f t="shared" si="8"/>
        <v>826.82572609999988</v>
      </c>
      <c r="AJ9" s="472">
        <f t="shared" si="2"/>
        <v>255.71308879999998</v>
      </c>
      <c r="AK9" s="666">
        <f t="shared" si="3"/>
        <v>792.30576549999978</v>
      </c>
    </row>
    <row r="10" spans="2:37" ht="15" customHeight="1" x14ac:dyDescent="0.2">
      <c r="B10" s="668" t="s">
        <v>288</v>
      </c>
      <c r="C10" s="918">
        <v>883.44100000000003</v>
      </c>
      <c r="D10" s="919">
        <v>6569.7380000000003</v>
      </c>
      <c r="E10" s="671">
        <v>6.66</v>
      </c>
      <c r="F10" s="699">
        <f t="shared" si="4"/>
        <v>7453.1790000000001</v>
      </c>
      <c r="G10" s="918">
        <v>680.49900000000002</v>
      </c>
      <c r="H10" s="919">
        <v>1520.578</v>
      </c>
      <c r="I10" s="671">
        <v>12.99</v>
      </c>
      <c r="J10" s="699">
        <f t="shared" si="5"/>
        <v>2201.0770000000002</v>
      </c>
      <c r="K10" s="923">
        <v>202.94200000000001</v>
      </c>
      <c r="L10" s="919">
        <v>5049.1610000000001</v>
      </c>
      <c r="M10" s="671">
        <v>8.49</v>
      </c>
      <c r="N10" s="699">
        <f t="shared" si="6"/>
        <v>5252.1030000000001</v>
      </c>
      <c r="P10" s="665">
        <f t="shared" si="7"/>
        <v>437.54455080000002</v>
      </c>
      <c r="Q10" s="472">
        <f t="shared" si="0"/>
        <v>197.52308219999998</v>
      </c>
      <c r="R10" s="666">
        <f t="shared" si="1"/>
        <v>428.67376889999997</v>
      </c>
      <c r="U10" s="668" t="str">
        <f>INDEX($B$7:$N$20,MATCH(4,$F$47:$F$60,FALSE),1)</f>
        <v>Wessex</v>
      </c>
      <c r="V10" s="697">
        <f>INDEX($B$7:$N$20,MATCH(4,$F$47:$F$60,FALSE),2)</f>
        <v>1609.3409999999999</v>
      </c>
      <c r="W10" s="698">
        <f>INDEX($B$7:$N$20,MATCH(4,$F$47:$F$60,FALSE),3)</f>
        <v>18245.454000000002</v>
      </c>
      <c r="X10" s="675">
        <f>INDEX($B$7:$N$20,MATCH(4,$F$47:$F$60,FALSE),4)</f>
        <v>3.92</v>
      </c>
      <c r="Y10" s="699">
        <f>INDEX($B$7:$N$20,MATCH(4,$F$47:$F$60,FALSE),5)</f>
        <v>19854.795000000002</v>
      </c>
      <c r="Z10" s="697">
        <f>INDEX($B$7:$N$20,MATCH(4,$F$47:$F$60,FALSE),6)</f>
        <v>895.74199999999996</v>
      </c>
      <c r="AA10" s="698">
        <f>INDEX($B$7:$N$20,MATCH(4,$F$47:$F$60,FALSE),7)</f>
        <v>3794.78</v>
      </c>
      <c r="AB10" s="675">
        <f>INDEX($B$7:$N$20,MATCH(4,$F$47:$F$60,FALSE),8)</f>
        <v>8.01</v>
      </c>
      <c r="AC10" s="699">
        <f>INDEX($B$7:$N$20,MATCH(4,$F$47:$F$60,FALSE),9)</f>
        <v>4690.5219999999999</v>
      </c>
      <c r="AD10" s="925">
        <f>INDEX($B$7:$N$20,MATCH(4,$F$47:$F$60,FALSE),10)</f>
        <v>713.59900000000005</v>
      </c>
      <c r="AE10" s="698">
        <f>INDEX($B$7:$N$20,MATCH(4,$F$47:$F$60,FALSE),11)</f>
        <v>14483.373</v>
      </c>
      <c r="AF10" s="675">
        <f>INDEX($B$7:$N$20,MATCH(4,$F$47:$F$60,FALSE),12)</f>
        <v>4.62</v>
      </c>
      <c r="AG10" s="699">
        <f>INDEX($B$7:$N$20,MATCH(4,$F$47:$F$60,FALSE),13)</f>
        <v>15196.972</v>
      </c>
      <c r="AI10" s="665">
        <f t="shared" si="8"/>
        <v>715.22179679999999</v>
      </c>
      <c r="AJ10" s="472">
        <f t="shared" si="2"/>
        <v>303.96187800000001</v>
      </c>
      <c r="AK10" s="666">
        <f t="shared" si="3"/>
        <v>669.13183260000005</v>
      </c>
    </row>
    <row r="11" spans="2:37" ht="15" customHeight="1" x14ac:dyDescent="0.2">
      <c r="B11" s="668" t="s">
        <v>305</v>
      </c>
      <c r="C11" s="918">
        <v>127.85899999999999</v>
      </c>
      <c r="D11" s="919">
        <v>3859.3719999999998</v>
      </c>
      <c r="E11" s="671">
        <v>11.6</v>
      </c>
      <c r="F11" s="699">
        <f t="shared" si="4"/>
        <v>3987.2309999999998</v>
      </c>
      <c r="G11" s="918">
        <v>80.052000000000007</v>
      </c>
      <c r="H11" s="919">
        <v>367.40499999999997</v>
      </c>
      <c r="I11" s="671">
        <v>17.97</v>
      </c>
      <c r="J11" s="699">
        <f t="shared" si="5"/>
        <v>447.45699999999999</v>
      </c>
      <c r="K11" s="923">
        <v>47.807000000000002</v>
      </c>
      <c r="L11" s="919">
        <v>3491.9670000000001</v>
      </c>
      <c r="M11" s="671">
        <v>12.82</v>
      </c>
      <c r="N11" s="699">
        <f t="shared" si="6"/>
        <v>3539.7739999999999</v>
      </c>
      <c r="P11" s="665">
        <f t="shared" si="7"/>
        <v>447.68715199999997</v>
      </c>
      <c r="Q11" s="472">
        <f t="shared" si="0"/>
        <v>66.022678499999998</v>
      </c>
      <c r="R11" s="666">
        <f t="shared" si="1"/>
        <v>447.67016940000002</v>
      </c>
      <c r="U11" s="668" t="str">
        <f>INDEX($B$7:$N$20,MATCH(5,$F$47:$F$60,FALSE),1)</f>
        <v>East Anglia</v>
      </c>
      <c r="V11" s="697">
        <f>INDEX($B$7:$N$20,MATCH(5,$F$47:$F$60,FALSE),2)</f>
        <v>2672.1619999999998</v>
      </c>
      <c r="W11" s="698">
        <f>INDEX($B$7:$N$20,MATCH(5,$F$47:$F$60,FALSE),3)</f>
        <v>15709.65</v>
      </c>
      <c r="X11" s="675">
        <f>INDEX($B$7:$N$20,MATCH(5,$F$47:$F$60,FALSE),4)</f>
        <v>3.98</v>
      </c>
      <c r="Y11" s="699">
        <f>INDEX($B$7:$N$20,MATCH(5,$F$47:$F$60,FALSE),5)</f>
        <v>18381.811999999998</v>
      </c>
      <c r="Z11" s="697">
        <f>INDEX($B$7:$N$20,MATCH(5,$F$47:$F$60,FALSE),6)</f>
        <v>2173.7420000000002</v>
      </c>
      <c r="AA11" s="698">
        <f>INDEX($B$7:$N$20,MATCH(5,$F$47:$F$60,FALSE),7)</f>
        <v>2568.0079999999998</v>
      </c>
      <c r="AB11" s="675">
        <f>INDEX($B$7:$N$20,MATCH(5,$F$47:$F$60,FALSE),8)</f>
        <v>7.75</v>
      </c>
      <c r="AC11" s="699">
        <f>INDEX($B$7:$N$20,MATCH(5,$F$47:$F$60,FALSE),9)</f>
        <v>4741.75</v>
      </c>
      <c r="AD11" s="925">
        <f>INDEX($B$7:$N$20,MATCH(5,$F$47:$F$60,FALSE),10)</f>
        <v>498.42</v>
      </c>
      <c r="AE11" s="698">
        <f>INDEX($B$7:$N$20,MATCH(5,$F$47:$F$60,FALSE),11)</f>
        <v>13136.893</v>
      </c>
      <c r="AF11" s="675">
        <f>INDEX($B$7:$N$20,MATCH(5,$F$47:$F$60,FALSE),12)</f>
        <v>4.7300000000000004</v>
      </c>
      <c r="AG11" s="699">
        <f>INDEX($B$7:$N$20,MATCH(5,$F$47:$F$60,FALSE),13)</f>
        <v>13635.313</v>
      </c>
      <c r="AI11" s="665">
        <f t="shared" si="8"/>
        <v>625.24406999999997</v>
      </c>
      <c r="AJ11" s="472">
        <f t="shared" si="2"/>
        <v>199.02061999999998</v>
      </c>
      <c r="AK11" s="666">
        <f t="shared" si="3"/>
        <v>621.37503890000005</v>
      </c>
    </row>
    <row r="12" spans="2:37" ht="15" customHeight="1" x14ac:dyDescent="0.2">
      <c r="B12" s="668" t="s">
        <v>289</v>
      </c>
      <c r="C12" s="918">
        <v>84.76</v>
      </c>
      <c r="D12" s="919">
        <v>5276.49</v>
      </c>
      <c r="E12" s="671">
        <v>12.02</v>
      </c>
      <c r="F12" s="699">
        <f t="shared" si="4"/>
        <v>5361.25</v>
      </c>
      <c r="G12" s="918">
        <v>31.231999999999999</v>
      </c>
      <c r="H12" s="919">
        <v>555.38099999999997</v>
      </c>
      <c r="I12" s="671">
        <v>17.23</v>
      </c>
      <c r="J12" s="699">
        <f t="shared" si="5"/>
        <v>586.61299999999994</v>
      </c>
      <c r="K12" s="923">
        <v>53.527999999999999</v>
      </c>
      <c r="L12" s="919">
        <v>4721.1080000000002</v>
      </c>
      <c r="M12" s="671">
        <v>13.32</v>
      </c>
      <c r="N12" s="699">
        <f t="shared" si="6"/>
        <v>4774.6360000000004</v>
      </c>
      <c r="P12" s="665">
        <f t="shared" si="7"/>
        <v>634.2340979999999</v>
      </c>
      <c r="Q12" s="472">
        <f t="shared" si="0"/>
        <v>95.692146300000005</v>
      </c>
      <c r="R12" s="666">
        <f t="shared" si="1"/>
        <v>628.85158560000002</v>
      </c>
      <c r="U12" s="668" t="str">
        <f>INDEX($B$7:$N$20,MATCH(6,$F$47:$F$60,FALSE),1)</f>
        <v>Thames</v>
      </c>
      <c r="V12" s="697">
        <f>INDEX($B$7:$N$20,MATCH(6,$F$47:$F$60,FALSE),2)</f>
        <v>373.84300000000002</v>
      </c>
      <c r="W12" s="698">
        <f>INDEX($B$7:$N$20,MATCH(6,$F$47:$F$60,FALSE),3)</f>
        <v>16899.489000000001</v>
      </c>
      <c r="X12" s="675">
        <f>INDEX($B$7:$N$20,MATCH(6,$F$47:$F$60,FALSE),4)</f>
        <v>3.07</v>
      </c>
      <c r="Y12" s="699">
        <f>INDEX($B$7:$N$20,MATCH(6,$F$47:$F$60,FALSE),5)</f>
        <v>17273.332000000002</v>
      </c>
      <c r="Z12" s="697">
        <f>INDEX($B$7:$N$20,MATCH(6,$F$47:$F$60,FALSE),6)</f>
        <v>168.262</v>
      </c>
      <c r="AA12" s="698">
        <f>INDEX($B$7:$N$20,MATCH(6,$F$47:$F$60,FALSE),7)</f>
        <v>3133.623</v>
      </c>
      <c r="AB12" s="675">
        <f>INDEX($B$7:$N$20,MATCH(6,$F$47:$F$60,FALSE),8)</f>
        <v>7.04</v>
      </c>
      <c r="AC12" s="699">
        <f>INDEX($B$7:$N$20,MATCH(6,$F$47:$F$60,FALSE),9)</f>
        <v>3301.8850000000002</v>
      </c>
      <c r="AD12" s="925">
        <f>INDEX($B$7:$N$20,MATCH(6,$F$47:$F$60,FALSE),10)</f>
        <v>205.58099999999999</v>
      </c>
      <c r="AE12" s="698">
        <f>INDEX($B$7:$N$20,MATCH(6,$F$47:$F$60,FALSE),11)</f>
        <v>13785.442999999999</v>
      </c>
      <c r="AF12" s="675">
        <f>INDEX($B$7:$N$20,MATCH(6,$F$47:$F$60,FALSE),12)</f>
        <v>3.59</v>
      </c>
      <c r="AG12" s="699">
        <f>INDEX($B$7:$N$20,MATCH(6,$F$47:$F$60,FALSE),13)</f>
        <v>13991.023999999999</v>
      </c>
      <c r="AI12" s="665">
        <f t="shared" si="8"/>
        <v>518.81431229999998</v>
      </c>
      <c r="AJ12" s="472">
        <f t="shared" si="2"/>
        <v>220.60705920000001</v>
      </c>
      <c r="AK12" s="666">
        <f t="shared" si="3"/>
        <v>494.89740369999993</v>
      </c>
    </row>
    <row r="13" spans="2:37" ht="15" customHeight="1" x14ac:dyDescent="0.2">
      <c r="B13" s="668" t="s">
        <v>306</v>
      </c>
      <c r="C13" s="918">
        <v>684.46400000000006</v>
      </c>
      <c r="D13" s="919">
        <v>16334.795</v>
      </c>
      <c r="E13" s="671">
        <v>4.1399999999999997</v>
      </c>
      <c r="F13" s="699">
        <f t="shared" si="4"/>
        <v>17019.259000000002</v>
      </c>
      <c r="G13" s="918">
        <v>344.06200000000001</v>
      </c>
      <c r="H13" s="919">
        <v>1684.798</v>
      </c>
      <c r="I13" s="671">
        <v>9.75</v>
      </c>
      <c r="J13" s="699">
        <f t="shared" si="5"/>
        <v>2028.8600000000001</v>
      </c>
      <c r="K13" s="923">
        <v>340.40199999999999</v>
      </c>
      <c r="L13" s="919">
        <v>14645.942999999999</v>
      </c>
      <c r="M13" s="671">
        <v>4.59</v>
      </c>
      <c r="N13" s="699">
        <f t="shared" si="6"/>
        <v>14986.344999999999</v>
      </c>
      <c r="P13" s="665">
        <f t="shared" si="7"/>
        <v>676.26051299999995</v>
      </c>
      <c r="Q13" s="472">
        <f t="shared" si="0"/>
        <v>164.26780500000001</v>
      </c>
      <c r="R13" s="666">
        <f t="shared" si="1"/>
        <v>672.24878369999988</v>
      </c>
      <c r="U13" s="668" t="str">
        <f>INDEX($B$7:$N$20,MATCH(7,$F$47:$F$60,FALSE),1)</f>
        <v>Kent South London and East Sussex</v>
      </c>
      <c r="V13" s="697">
        <f>INDEX($B$7:$N$20,MATCH(7,$F$47:$F$60,FALSE),2)</f>
        <v>684.46400000000006</v>
      </c>
      <c r="W13" s="698">
        <f>INDEX($B$7:$N$20,MATCH(7,$F$47:$F$60,FALSE),3)</f>
        <v>16334.795</v>
      </c>
      <c r="X13" s="675">
        <f>INDEX($B$7:$N$20,MATCH(7,$F$47:$F$60,FALSE),4)</f>
        <v>4.1399999999999997</v>
      </c>
      <c r="Y13" s="699">
        <f>INDEX($B$7:$N$20,MATCH(7,$F$47:$F$60,FALSE),5)</f>
        <v>17019.259000000002</v>
      </c>
      <c r="Z13" s="697">
        <f>INDEX($B$7:$N$20,MATCH(7,$F$47:$F$60,FALSE),6)</f>
        <v>344.06200000000001</v>
      </c>
      <c r="AA13" s="698">
        <f>INDEX($B$7:$N$20,MATCH(7,$F$47:$F$60,FALSE),7)</f>
        <v>1684.798</v>
      </c>
      <c r="AB13" s="675">
        <f>INDEX($B$7:$N$20,MATCH(7,$F$47:$F$60,FALSE),8)</f>
        <v>9.75</v>
      </c>
      <c r="AC13" s="699">
        <f>INDEX($B$7:$N$20,MATCH(7,$F$47:$F$60,FALSE),9)</f>
        <v>2028.8600000000001</v>
      </c>
      <c r="AD13" s="925">
        <f>INDEX($B$7:$N$20,MATCH(7,$F$47:$F$60,FALSE),10)</f>
        <v>340.40199999999999</v>
      </c>
      <c r="AE13" s="698">
        <f>INDEX($B$7:$N$20,MATCH(7,$F$47:$F$60,FALSE),11)</f>
        <v>14645.942999999999</v>
      </c>
      <c r="AF13" s="675">
        <f>INDEX($B$7:$N$20,MATCH(7,$F$47:$F$60,FALSE),12)</f>
        <v>4.59</v>
      </c>
      <c r="AG13" s="699">
        <f>INDEX($B$7:$N$20,MATCH(7,$F$47:$F$60,FALSE),13)</f>
        <v>14986.344999999999</v>
      </c>
      <c r="AI13" s="665">
        <f t="shared" si="8"/>
        <v>676.26051299999995</v>
      </c>
      <c r="AJ13" s="472">
        <f t="shared" si="2"/>
        <v>164.26780500000001</v>
      </c>
      <c r="AK13" s="666">
        <f t="shared" si="3"/>
        <v>672.24878369999988</v>
      </c>
    </row>
    <row r="14" spans="2:37" ht="15" customHeight="1" x14ac:dyDescent="0.2">
      <c r="B14" s="668" t="s">
        <v>290</v>
      </c>
      <c r="C14" s="918">
        <v>1182.7539999999999</v>
      </c>
      <c r="D14" s="919">
        <v>6205.0529999999999</v>
      </c>
      <c r="E14" s="671">
        <v>5.84</v>
      </c>
      <c r="F14" s="699">
        <f t="shared" si="4"/>
        <v>7387.8069999999998</v>
      </c>
      <c r="G14" s="918">
        <v>442.911</v>
      </c>
      <c r="H14" s="919">
        <v>730.74099999999999</v>
      </c>
      <c r="I14" s="671">
        <v>12.1</v>
      </c>
      <c r="J14" s="699">
        <f t="shared" si="5"/>
        <v>1173.652</v>
      </c>
      <c r="K14" s="923">
        <v>739.84299999999996</v>
      </c>
      <c r="L14" s="919">
        <v>5465.5720000000001</v>
      </c>
      <c r="M14" s="671">
        <v>6.69</v>
      </c>
      <c r="N14" s="699">
        <f t="shared" si="6"/>
        <v>6205.415</v>
      </c>
      <c r="P14" s="665">
        <f t="shared" si="7"/>
        <v>362.37509519999998</v>
      </c>
      <c r="Q14" s="472">
        <f t="shared" si="0"/>
        <v>88.419660999999991</v>
      </c>
      <c r="R14" s="666">
        <f t="shared" si="1"/>
        <v>365.64676680000002</v>
      </c>
      <c r="U14" s="668" t="str">
        <f>INDEX($B$7:$N$20,MATCH(8,$F$47:$F$60,FALSE),1)</f>
        <v>Yorkshire</v>
      </c>
      <c r="V14" s="697">
        <f>INDEX($B$7:$N$20,MATCH(8,$F$47:$F$60,FALSE),2)</f>
        <v>1925.675</v>
      </c>
      <c r="W14" s="698">
        <f>INDEX($B$7:$N$20,MATCH(8,$F$47:$F$60,FALSE),3)</f>
        <v>13499.953</v>
      </c>
      <c r="X14" s="675">
        <f>INDEX($B$7:$N$20,MATCH(8,$F$47:$F$60,FALSE),4)</f>
        <v>3.27</v>
      </c>
      <c r="Y14" s="699">
        <f>INDEX($B$7:$N$20,MATCH(8,$F$47:$F$60,FALSE),5)</f>
        <v>15425.627999999999</v>
      </c>
      <c r="Z14" s="697">
        <f>INDEX($B$7:$N$20,MATCH(8,$F$47:$F$60,FALSE),6)</f>
        <v>1614.4059999999999</v>
      </c>
      <c r="AA14" s="698">
        <f>INDEX($B$7:$N$20,MATCH(8,$F$47:$F$60,FALSE),7)</f>
        <v>3639.8180000000002</v>
      </c>
      <c r="AB14" s="675">
        <f>INDEX($B$7:$N$20,MATCH(8,$F$47:$F$60,FALSE),8)</f>
        <v>5.77</v>
      </c>
      <c r="AC14" s="699">
        <f>INDEX($B$7:$N$20,MATCH(8,$F$47:$F$60,FALSE),9)</f>
        <v>5254.2240000000002</v>
      </c>
      <c r="AD14" s="925">
        <f>INDEX($B$7:$N$20,MATCH(8,$F$47:$F$60,FALSE),10)</f>
        <v>311.26900000000001</v>
      </c>
      <c r="AE14" s="698">
        <f>INDEX($B$7:$N$20,MATCH(8,$F$47:$F$60,FALSE),11)</f>
        <v>9862.491</v>
      </c>
      <c r="AF14" s="675">
        <f>INDEX($B$7:$N$20,MATCH(8,$F$47:$F$60,FALSE),12)</f>
        <v>4.22</v>
      </c>
      <c r="AG14" s="699">
        <f>INDEX($B$7:$N$20,MATCH(8,$F$47:$F$60,FALSE),13)</f>
        <v>10173.76</v>
      </c>
      <c r="AI14" s="665">
        <f t="shared" si="8"/>
        <v>441.44846310000003</v>
      </c>
      <c r="AJ14" s="472">
        <f t="shared" si="2"/>
        <v>210.01749860000001</v>
      </c>
      <c r="AK14" s="666">
        <f t="shared" si="3"/>
        <v>416.19712019999997</v>
      </c>
    </row>
    <row r="15" spans="2:37" ht="15" customHeight="1" x14ac:dyDescent="0.2">
      <c r="B15" s="668" t="s">
        <v>291</v>
      </c>
      <c r="C15" s="918">
        <v>4681.8069999999998</v>
      </c>
      <c r="D15" s="919">
        <v>10207.405000000001</v>
      </c>
      <c r="E15" s="671">
        <v>4.82</v>
      </c>
      <c r="F15" s="699">
        <f t="shared" si="4"/>
        <v>14889.212</v>
      </c>
      <c r="G15" s="918">
        <v>4561.4229999999998</v>
      </c>
      <c r="H15" s="919">
        <v>5107.1989999999996</v>
      </c>
      <c r="I15" s="671">
        <v>7.05</v>
      </c>
      <c r="J15" s="699">
        <f t="shared" si="5"/>
        <v>9668.6219999999994</v>
      </c>
      <c r="K15" s="923">
        <v>120.384</v>
      </c>
      <c r="L15" s="919">
        <v>5087.7380000000003</v>
      </c>
      <c r="M15" s="671">
        <v>7.13</v>
      </c>
      <c r="N15" s="699">
        <f t="shared" si="6"/>
        <v>5208.1220000000003</v>
      </c>
      <c r="P15" s="665">
        <f t="shared" si="7"/>
        <v>491.9969210000001</v>
      </c>
      <c r="Q15" s="472">
        <f t="shared" si="0"/>
        <v>360.05752949999993</v>
      </c>
      <c r="R15" s="666">
        <f t="shared" si="1"/>
        <v>362.75571940000003</v>
      </c>
      <c r="U15" s="668" t="str">
        <f>INDEX($B$7:$N$20,MATCH(9,$F$47:$F$60,FALSE),1)</f>
        <v>North East</v>
      </c>
      <c r="V15" s="697">
        <f>INDEX($B$7:$N$20,MATCH(9,$F$47:$F$60,FALSE),2)</f>
        <v>4681.8069999999998</v>
      </c>
      <c r="W15" s="698">
        <f>INDEX($B$7:$N$20,MATCH(9,$F$47:$F$60,FALSE),3)</f>
        <v>10207.405000000001</v>
      </c>
      <c r="X15" s="675">
        <f>INDEX($B$7:$N$20,MATCH(9,$F$47:$F$60,FALSE),4)</f>
        <v>4.82</v>
      </c>
      <c r="Y15" s="699">
        <f>INDEX($B$7:$N$20,MATCH(9,$F$47:$F$60,FALSE),5)</f>
        <v>14889.212</v>
      </c>
      <c r="Z15" s="697">
        <f>INDEX($B$7:$N$20,MATCH(9,$F$47:$F$60,FALSE),6)</f>
        <v>4561.4229999999998</v>
      </c>
      <c r="AA15" s="698">
        <f>INDEX($B$7:$N$20,MATCH(9,$F$47:$F$60,FALSE),7)</f>
        <v>5107.1989999999996</v>
      </c>
      <c r="AB15" s="675">
        <f>INDEX($B$7:$N$20,MATCH(9,$F$47:$F$60,FALSE),8)</f>
        <v>7.05</v>
      </c>
      <c r="AC15" s="699">
        <f>INDEX($B$7:$N$20,MATCH(9,$F$47:$F$60,FALSE),9)</f>
        <v>9668.6219999999994</v>
      </c>
      <c r="AD15" s="925">
        <f>INDEX($B$7:$N$20,MATCH(9,$F$47:$F$60,FALSE),10)</f>
        <v>120.384</v>
      </c>
      <c r="AE15" s="698">
        <f>INDEX($B$7:$N$20,MATCH(9,$F$47:$F$60,FALSE),11)</f>
        <v>5087.7380000000003</v>
      </c>
      <c r="AF15" s="675">
        <f>INDEX($B$7:$N$20,MATCH(9,$F$47:$F$60,FALSE),12)</f>
        <v>7.13</v>
      </c>
      <c r="AG15" s="699">
        <f>INDEX($B$7:$N$20,MATCH(9,$F$47:$F$60,FALSE),13)</f>
        <v>5208.1220000000003</v>
      </c>
      <c r="AI15" s="665">
        <f t="shared" si="8"/>
        <v>491.9969210000001</v>
      </c>
      <c r="AJ15" s="472">
        <f t="shared" si="2"/>
        <v>360.05752949999993</v>
      </c>
      <c r="AK15" s="666">
        <f t="shared" si="3"/>
        <v>362.75571940000003</v>
      </c>
    </row>
    <row r="16" spans="2:37" ht="15" customHeight="1" x14ac:dyDescent="0.2">
      <c r="B16" s="668" t="s">
        <v>292</v>
      </c>
      <c r="C16" s="918">
        <v>4605.9610000000002</v>
      </c>
      <c r="D16" s="919">
        <v>18500.07</v>
      </c>
      <c r="E16" s="671">
        <v>2.95</v>
      </c>
      <c r="F16" s="699">
        <f t="shared" si="4"/>
        <v>23106.030999999999</v>
      </c>
      <c r="G16" s="918">
        <v>1374.81</v>
      </c>
      <c r="H16" s="919">
        <v>2884.9929999999999</v>
      </c>
      <c r="I16" s="671">
        <v>6.44</v>
      </c>
      <c r="J16" s="699">
        <f t="shared" si="5"/>
        <v>4259.8029999999999</v>
      </c>
      <c r="K16" s="923">
        <v>3231.15</v>
      </c>
      <c r="L16" s="919">
        <v>15602.014999999999</v>
      </c>
      <c r="M16" s="671">
        <v>3.39</v>
      </c>
      <c r="N16" s="699">
        <f t="shared" si="6"/>
        <v>18833.165000000001</v>
      </c>
      <c r="P16" s="665">
        <f t="shared" si="7"/>
        <v>545.75206500000002</v>
      </c>
      <c r="Q16" s="472">
        <f t="shared" si="0"/>
        <v>185.79354920000003</v>
      </c>
      <c r="R16" s="666">
        <f t="shared" si="1"/>
        <v>528.90830849999998</v>
      </c>
      <c r="U16" s="668" t="str">
        <f>INDEX($B$7:$N$20,MATCH(10,$F$47:$F$60,FALSE),1)</f>
        <v>Cumbria and Lancashire</v>
      </c>
      <c r="V16" s="697">
        <f>INDEX($B$7:$N$20,MATCH(10,$F$47:$F$60,FALSE),2)</f>
        <v>2168.375</v>
      </c>
      <c r="W16" s="698">
        <f>INDEX($B$7:$N$20,MATCH(10,$F$47:$F$60,FALSE),3)</f>
        <v>10262.669</v>
      </c>
      <c r="X16" s="675">
        <f>INDEX($B$7:$N$20,MATCH(10,$F$47:$F$60,FALSE),4)</f>
        <v>4.2699999999999996</v>
      </c>
      <c r="Y16" s="699">
        <f>INDEX($B$7:$N$20,MATCH(10,$F$47:$F$60,FALSE),5)</f>
        <v>12431.044</v>
      </c>
      <c r="Z16" s="697">
        <f>INDEX($B$7:$N$20,MATCH(10,$F$47:$F$60,FALSE),6)</f>
        <v>1841.8579999999999</v>
      </c>
      <c r="AA16" s="698">
        <f>INDEX($B$7:$N$20,MATCH(10,$F$47:$F$60,FALSE),7)</f>
        <v>3641.7550000000001</v>
      </c>
      <c r="AB16" s="675">
        <f>INDEX($B$7:$N$20,MATCH(10,$F$47:$F$60,FALSE),8)</f>
        <v>6.86</v>
      </c>
      <c r="AC16" s="699">
        <f>INDEX($B$7:$N$20,MATCH(10,$F$47:$F$60,FALSE),9)</f>
        <v>5483.6130000000003</v>
      </c>
      <c r="AD16" s="925">
        <f>INDEX($B$7:$N$20,MATCH(10,$F$47:$F$60,FALSE),10)</f>
        <v>326.517</v>
      </c>
      <c r="AE16" s="698">
        <f>INDEX($B$7:$N$20,MATCH(10,$F$47:$F$60,FALSE),11)</f>
        <v>6612.6009999999997</v>
      </c>
      <c r="AF16" s="675">
        <f>INDEX($B$7:$N$20,MATCH(10,$F$47:$F$60,FALSE),12)</f>
        <v>5.88</v>
      </c>
      <c r="AG16" s="699">
        <f>INDEX($B$7:$N$20,MATCH(10,$F$47:$F$60,FALSE),13)</f>
        <v>6939.1179999999995</v>
      </c>
      <c r="AI16" s="665">
        <f t="shared" si="8"/>
        <v>438.21596629999993</v>
      </c>
      <c r="AJ16" s="472">
        <f t="shared" si="2"/>
        <v>249.82439300000001</v>
      </c>
      <c r="AK16" s="666">
        <f t="shared" si="3"/>
        <v>388.82093880000002</v>
      </c>
    </row>
    <row r="17" spans="2:37" ht="15" customHeight="1" x14ac:dyDescent="0.2">
      <c r="B17" s="668" t="s">
        <v>293</v>
      </c>
      <c r="C17" s="918">
        <v>373.84300000000002</v>
      </c>
      <c r="D17" s="919">
        <v>16899.489000000001</v>
      </c>
      <c r="E17" s="671">
        <v>3.07</v>
      </c>
      <c r="F17" s="699">
        <f t="shared" si="4"/>
        <v>17273.332000000002</v>
      </c>
      <c r="G17" s="918">
        <v>168.262</v>
      </c>
      <c r="H17" s="919">
        <v>3133.623</v>
      </c>
      <c r="I17" s="671">
        <v>7.04</v>
      </c>
      <c r="J17" s="699">
        <f t="shared" si="5"/>
        <v>3301.8850000000002</v>
      </c>
      <c r="K17" s="923">
        <v>205.58099999999999</v>
      </c>
      <c r="L17" s="919">
        <v>13785.442999999999</v>
      </c>
      <c r="M17" s="671">
        <v>3.59</v>
      </c>
      <c r="N17" s="699">
        <f t="shared" si="6"/>
        <v>13991.023999999999</v>
      </c>
      <c r="P17" s="665">
        <f t="shared" si="7"/>
        <v>518.81431229999998</v>
      </c>
      <c r="Q17" s="472">
        <f t="shared" si="0"/>
        <v>220.60705920000001</v>
      </c>
      <c r="R17" s="666">
        <f t="shared" si="1"/>
        <v>494.89740369999993</v>
      </c>
      <c r="U17" s="668" t="str">
        <f>INDEX($B$7:$N$20,MATCH(11,$F$47:$F$60,FALSE),1)</f>
        <v>East Midlands</v>
      </c>
      <c r="V17" s="697">
        <f>INDEX($B$7:$N$20,MATCH(11,$F$47:$F$60,FALSE),2)</f>
        <v>883.44100000000003</v>
      </c>
      <c r="W17" s="698">
        <f>INDEX($B$7:$N$20,MATCH(11,$F$47:$F$60,FALSE),3)</f>
        <v>6569.7380000000003</v>
      </c>
      <c r="X17" s="675">
        <f>INDEX($B$7:$N$20,MATCH(11,$F$47:$F$60,FALSE),4)</f>
        <v>6.66</v>
      </c>
      <c r="Y17" s="699">
        <f>INDEX($B$7:$N$20,MATCH(11,$F$47:$F$60,FALSE),5)</f>
        <v>7453.1790000000001</v>
      </c>
      <c r="Z17" s="697">
        <f>INDEX($B$7:$N$20,MATCH(11,$F$47:$F$60,FALSE),6)</f>
        <v>680.49900000000002</v>
      </c>
      <c r="AA17" s="698">
        <f>INDEX($B$7:$N$20,MATCH(11,$F$47:$F$60,FALSE),7)</f>
        <v>1520.578</v>
      </c>
      <c r="AB17" s="675">
        <f>INDEX($B$7:$N$20,MATCH(11,$F$47:$F$60,FALSE),8)</f>
        <v>12.99</v>
      </c>
      <c r="AC17" s="699">
        <f>INDEX($B$7:$N$20,MATCH(11,$F$47:$F$60,FALSE),9)</f>
        <v>2201.0770000000002</v>
      </c>
      <c r="AD17" s="925">
        <f>INDEX($B$7:$N$20,MATCH(11,$F$47:$F$60,FALSE),10)</f>
        <v>202.94200000000001</v>
      </c>
      <c r="AE17" s="698">
        <f>INDEX($B$7:$N$20,MATCH(11,$F$47:$F$60,FALSE),11)</f>
        <v>5049.1610000000001</v>
      </c>
      <c r="AF17" s="675">
        <f>INDEX($B$7:$N$20,MATCH(11,$F$47:$F$60,FALSE),12)</f>
        <v>8.49</v>
      </c>
      <c r="AG17" s="699">
        <f>INDEX($B$7:$N$20,MATCH(11,$F$47:$F$60,FALSE),13)</f>
        <v>5252.1030000000001</v>
      </c>
      <c r="AI17" s="665">
        <f t="shared" si="8"/>
        <v>437.54455080000002</v>
      </c>
      <c r="AJ17" s="472">
        <f t="shared" si="2"/>
        <v>197.52308219999998</v>
      </c>
      <c r="AK17" s="666">
        <f t="shared" si="3"/>
        <v>428.67376889999997</v>
      </c>
    </row>
    <row r="18" spans="2:37" ht="15" customHeight="1" x14ac:dyDescent="0.2">
      <c r="B18" s="668" t="s">
        <v>294</v>
      </c>
      <c r="C18" s="918">
        <v>1609.3409999999999</v>
      </c>
      <c r="D18" s="919">
        <v>18245.454000000002</v>
      </c>
      <c r="E18" s="671">
        <v>3.92</v>
      </c>
      <c r="F18" s="699">
        <f t="shared" si="4"/>
        <v>19854.795000000002</v>
      </c>
      <c r="G18" s="918">
        <v>895.74199999999996</v>
      </c>
      <c r="H18" s="919">
        <v>3794.78</v>
      </c>
      <c r="I18" s="671">
        <v>8.01</v>
      </c>
      <c r="J18" s="699">
        <f t="shared" si="5"/>
        <v>4690.5219999999999</v>
      </c>
      <c r="K18" s="923">
        <v>713.59900000000005</v>
      </c>
      <c r="L18" s="919">
        <v>14483.373</v>
      </c>
      <c r="M18" s="671">
        <v>4.62</v>
      </c>
      <c r="N18" s="699">
        <f t="shared" si="6"/>
        <v>15196.972</v>
      </c>
      <c r="P18" s="665">
        <f t="shared" si="7"/>
        <v>715.22179679999999</v>
      </c>
      <c r="Q18" s="472">
        <f t="shared" si="0"/>
        <v>303.96187800000001</v>
      </c>
      <c r="R18" s="666">
        <f t="shared" si="1"/>
        <v>669.13183260000005</v>
      </c>
      <c r="U18" s="668" t="str">
        <f>INDEX($B$7:$N$20,MATCH(12,$F$47:$F$60,FALSE),1)</f>
        <v>Lincolnshire and Northamptonshire</v>
      </c>
      <c r="V18" s="697">
        <f>INDEX($B$7:$N$20,MATCH(12,$F$47:$F$60,FALSE),2)</f>
        <v>1182.7539999999999</v>
      </c>
      <c r="W18" s="698">
        <f>INDEX($B$7:$N$20,MATCH(12,$F$47:$F$60,FALSE),3)</f>
        <v>6205.0529999999999</v>
      </c>
      <c r="X18" s="675">
        <f>INDEX($B$7:$N$20,MATCH(12,$F$47:$F$60,FALSE),4)</f>
        <v>5.84</v>
      </c>
      <c r="Y18" s="699">
        <f>INDEX($B$7:$N$20,MATCH(12,$F$47:$F$60,FALSE),5)</f>
        <v>7387.8069999999998</v>
      </c>
      <c r="Z18" s="697">
        <f>INDEX($B$7:$N$20,MATCH(12,$F$47:$F$60,FALSE),6)</f>
        <v>442.911</v>
      </c>
      <c r="AA18" s="698">
        <f>INDEX($B$7:$N$20,MATCH(12,$F$47:$F$60,FALSE),7)</f>
        <v>730.74099999999999</v>
      </c>
      <c r="AB18" s="675">
        <f>INDEX($B$7:$N$20,MATCH(12,$F$47:$F$60,FALSE),8)</f>
        <v>12.1</v>
      </c>
      <c r="AC18" s="699">
        <f>INDEX($B$7:$N$20,MATCH(12,$F$47:$F$60,FALSE),9)</f>
        <v>1173.652</v>
      </c>
      <c r="AD18" s="925">
        <f>INDEX($B$7:$N$20,MATCH(12,$F$47:$F$60,FALSE),10)</f>
        <v>739.84299999999996</v>
      </c>
      <c r="AE18" s="698">
        <f>INDEX($B$7:$N$20,MATCH(12,$F$47:$F$60,FALSE),11)</f>
        <v>5465.5720000000001</v>
      </c>
      <c r="AF18" s="675">
        <f>INDEX($B$7:$N$20,MATCH(12,$F$47:$F$60,FALSE),12)</f>
        <v>6.69</v>
      </c>
      <c r="AG18" s="699">
        <f>INDEX($B$7:$N$20,MATCH(12,$F$47:$F$60,FALSE),13)</f>
        <v>6205.415</v>
      </c>
      <c r="AI18" s="665">
        <f t="shared" si="8"/>
        <v>362.37509519999998</v>
      </c>
      <c r="AJ18" s="472">
        <f t="shared" si="2"/>
        <v>88.419660999999991</v>
      </c>
      <c r="AK18" s="666">
        <f t="shared" si="3"/>
        <v>365.64676680000002</v>
      </c>
    </row>
    <row r="19" spans="2:37" ht="15" customHeight="1" x14ac:dyDescent="0.2">
      <c r="B19" s="668" t="s">
        <v>295</v>
      </c>
      <c r="C19" s="918">
        <v>2946.3009999999999</v>
      </c>
      <c r="D19" s="919">
        <v>22668.681</v>
      </c>
      <c r="E19" s="671">
        <v>4.21</v>
      </c>
      <c r="F19" s="699">
        <f t="shared" si="4"/>
        <v>25614.982</v>
      </c>
      <c r="G19" s="918">
        <v>1923.4480000000001</v>
      </c>
      <c r="H19" s="919">
        <v>4952.415</v>
      </c>
      <c r="I19" s="671">
        <v>8.6999999999999993</v>
      </c>
      <c r="J19" s="699">
        <f t="shared" si="5"/>
        <v>6875.8630000000003</v>
      </c>
      <c r="K19" s="923">
        <v>1022.853</v>
      </c>
      <c r="L19" s="919">
        <v>17776.674999999999</v>
      </c>
      <c r="M19" s="671">
        <v>4.88</v>
      </c>
      <c r="N19" s="699">
        <f t="shared" si="6"/>
        <v>18799.527999999998</v>
      </c>
      <c r="P19" s="665">
        <f t="shared" si="7"/>
        <v>954.35147010000003</v>
      </c>
      <c r="Q19" s="472">
        <f t="shared" si="0"/>
        <v>430.86010499999998</v>
      </c>
      <c r="R19" s="666">
        <f t="shared" si="1"/>
        <v>867.50174000000004</v>
      </c>
      <c r="U19" s="668" t="str">
        <f>INDEX($B$7:$N$20,MATCH(13,$F$47:$F$60,FALSE),1)</f>
        <v>Hertfordshire and North London</v>
      </c>
      <c r="V19" s="697">
        <f>INDEX($B$7:$N$20,MATCH(13,$F$47:$F$60,FALSE),2)</f>
        <v>84.76</v>
      </c>
      <c r="W19" s="698">
        <f>INDEX($B$7:$N$20,MATCH(13,$F$47:$F$60,FALSE),3)</f>
        <v>5276.49</v>
      </c>
      <c r="X19" s="675">
        <f>INDEX($B$7:$N$20,MATCH(13,$F$47:$F$60,FALSE),4)</f>
        <v>12.02</v>
      </c>
      <c r="Y19" s="699">
        <f>INDEX($B$7:$N$20,MATCH(13,$F$47:$F$60,FALSE),5)</f>
        <v>5361.25</v>
      </c>
      <c r="Z19" s="697">
        <f>INDEX($B$7:$N$20,MATCH(13,$F$47:$F$60,FALSE),6)</f>
        <v>31.231999999999999</v>
      </c>
      <c r="AA19" s="698">
        <f>INDEX($B$7:$N$20,MATCH(13,$F$47:$F$60,FALSE),7)</f>
        <v>555.38099999999997</v>
      </c>
      <c r="AB19" s="675">
        <f>INDEX($B$7:$N$20,MATCH(13,$F$47:$F$60,FALSE),8)</f>
        <v>17.23</v>
      </c>
      <c r="AC19" s="699">
        <f>INDEX($B$7:$N$20,MATCH(13,$F$47:$F$60,FALSE),9)</f>
        <v>586.61299999999994</v>
      </c>
      <c r="AD19" s="925">
        <f>INDEX($B$7:$N$20,MATCH(13,$F$47:$F$60,FALSE),10)</f>
        <v>53.527999999999999</v>
      </c>
      <c r="AE19" s="698">
        <f>INDEX($B$7:$N$20,MATCH(13,$F$47:$F$60,FALSE),11)</f>
        <v>4721.1080000000002</v>
      </c>
      <c r="AF19" s="675">
        <f>INDEX($B$7:$N$20,MATCH(13,$F$47:$F$60,FALSE),12)</f>
        <v>13.32</v>
      </c>
      <c r="AG19" s="699">
        <f>INDEX($B$7:$N$20,MATCH(13,$F$47:$F$60,FALSE),13)</f>
        <v>4774.6360000000004</v>
      </c>
      <c r="AI19" s="665">
        <f t="shared" si="8"/>
        <v>634.2340979999999</v>
      </c>
      <c r="AJ19" s="472">
        <f t="shared" si="2"/>
        <v>95.692146300000005</v>
      </c>
      <c r="AK19" s="666">
        <f t="shared" si="3"/>
        <v>628.85158560000002</v>
      </c>
    </row>
    <row r="20" spans="2:37" ht="15" customHeight="1" thickBot="1" x14ac:dyDescent="0.25">
      <c r="B20" s="677" t="s">
        <v>296</v>
      </c>
      <c r="C20" s="920">
        <v>1925.675</v>
      </c>
      <c r="D20" s="921">
        <v>13499.953</v>
      </c>
      <c r="E20" s="680">
        <v>3.27</v>
      </c>
      <c r="F20" s="702">
        <f t="shared" si="4"/>
        <v>15425.627999999999</v>
      </c>
      <c r="G20" s="920">
        <v>1614.4059999999999</v>
      </c>
      <c r="H20" s="921">
        <v>3639.8180000000002</v>
      </c>
      <c r="I20" s="680">
        <v>5.77</v>
      </c>
      <c r="J20" s="702">
        <f t="shared" si="5"/>
        <v>5254.2240000000002</v>
      </c>
      <c r="K20" s="924">
        <v>311.26900000000001</v>
      </c>
      <c r="L20" s="921">
        <v>9862.491</v>
      </c>
      <c r="M20" s="680">
        <v>4.22</v>
      </c>
      <c r="N20" s="702">
        <f t="shared" si="6"/>
        <v>10173.76</v>
      </c>
      <c r="P20" s="683">
        <f t="shared" si="7"/>
        <v>441.44846310000003</v>
      </c>
      <c r="Q20" s="684">
        <f t="shared" si="0"/>
        <v>210.01749860000001</v>
      </c>
      <c r="R20" s="685">
        <f t="shared" si="1"/>
        <v>416.19712019999997</v>
      </c>
      <c r="U20" s="677" t="str">
        <f>INDEX($B$7:$N$20,MATCH(14,$F$47:$F$60,FALSE),1)</f>
        <v>Greater Manchester Merseyside and Cheshire</v>
      </c>
      <c r="V20" s="700">
        <f>INDEX($B$7:$N$20,MATCH(14,$F$47:$F$60,FALSE),2)</f>
        <v>127.85899999999999</v>
      </c>
      <c r="W20" s="701">
        <f>INDEX($B$7:$N$20,MATCH(14,$F$47:$F$60,FALSE),3)</f>
        <v>3859.3719999999998</v>
      </c>
      <c r="X20" s="688">
        <f>INDEX($B$7:$N$20,MATCH(14,$F$47:$F$60,FALSE),4)</f>
        <v>11.6</v>
      </c>
      <c r="Y20" s="702">
        <f>INDEX($B$7:$N$20,MATCH(14,$F$47:$F$60,FALSE),5)</f>
        <v>3987.2309999999998</v>
      </c>
      <c r="Z20" s="700">
        <f>INDEX($B$7:$N$20,MATCH(14,$F$47:$F$60,FALSE),6)</f>
        <v>80.052000000000007</v>
      </c>
      <c r="AA20" s="701">
        <f>INDEX($B$7:$N$20,MATCH(14,$F$47:$F$60,FALSE),7)</f>
        <v>367.40499999999997</v>
      </c>
      <c r="AB20" s="688">
        <f>INDEX($B$7:$N$20,MATCH(14,$F$47:$F$60,FALSE),8)</f>
        <v>17.97</v>
      </c>
      <c r="AC20" s="702">
        <f>INDEX($B$7:$N$20,MATCH(14,$F$47:$F$60,FALSE),9)</f>
        <v>447.45699999999999</v>
      </c>
      <c r="AD20" s="926">
        <f>INDEX($B$7:$N$20,MATCH(14,$F$47:$F$60,FALSE),10)</f>
        <v>47.807000000000002</v>
      </c>
      <c r="AE20" s="701">
        <f>INDEX($B$7:$N$20,MATCH(14,$F$47:$F$60,FALSE),11)</f>
        <v>3491.9670000000001</v>
      </c>
      <c r="AF20" s="688">
        <f>INDEX($B$7:$N$20,MATCH(14,$F$47:$F$60,FALSE),12)</f>
        <v>12.82</v>
      </c>
      <c r="AG20" s="702">
        <f>INDEX($B$7:$N$20,MATCH(14,$F$47:$F$60,FALSE),13)</f>
        <v>3539.7739999999999</v>
      </c>
      <c r="AI20" s="683">
        <f t="shared" si="8"/>
        <v>447.68715199999997</v>
      </c>
      <c r="AJ20" s="684">
        <f t="shared" si="2"/>
        <v>66.022678499999998</v>
      </c>
      <c r="AK20" s="685">
        <f t="shared" si="3"/>
        <v>447.67016940000002</v>
      </c>
    </row>
    <row r="22" spans="2:37" ht="15" customHeight="1" thickBot="1" x14ac:dyDescent="0.25"/>
    <row r="23" spans="2:37" ht="15" customHeight="1" x14ac:dyDescent="0.2">
      <c r="B23" s="1000" t="s">
        <v>753</v>
      </c>
      <c r="C23" s="1002" t="s">
        <v>76</v>
      </c>
      <c r="D23" s="1002"/>
      <c r="E23" s="1002"/>
      <c r="F23" s="1005"/>
      <c r="G23" s="690"/>
      <c r="H23" s="691"/>
      <c r="I23" s="691"/>
      <c r="J23" s="691"/>
      <c r="K23" s="691"/>
      <c r="L23" s="691"/>
      <c r="M23" s="691"/>
      <c r="N23" s="691"/>
      <c r="P23" s="1003" t="s">
        <v>520</v>
      </c>
      <c r="Q23" s="996"/>
      <c r="R23" s="998"/>
    </row>
    <row r="24" spans="2:37" ht="15" customHeight="1" x14ac:dyDescent="0.2">
      <c r="B24" s="1000"/>
      <c r="C24" s="653" t="s">
        <v>78</v>
      </c>
      <c r="D24" s="653" t="s">
        <v>309</v>
      </c>
      <c r="E24" s="653"/>
      <c r="F24" s="692" t="s">
        <v>80</v>
      </c>
      <c r="G24" s="693"/>
      <c r="H24" s="693"/>
      <c r="I24" s="693"/>
      <c r="J24" s="693"/>
      <c r="K24" s="693"/>
      <c r="L24" s="693"/>
      <c r="M24" s="693"/>
      <c r="N24" s="693"/>
      <c r="P24" s="1004"/>
      <c r="Q24" s="997"/>
      <c r="R24" s="999"/>
    </row>
    <row r="25" spans="2:37" ht="15" customHeight="1" thickBot="1" x14ac:dyDescent="0.25">
      <c r="B25" s="1001"/>
      <c r="C25" s="654" t="s">
        <v>757</v>
      </c>
      <c r="D25" s="654" t="s">
        <v>757</v>
      </c>
      <c r="E25" s="655" t="s">
        <v>82</v>
      </c>
      <c r="F25" s="694" t="s">
        <v>757</v>
      </c>
      <c r="G25" s="693"/>
      <c r="H25" s="693"/>
      <c r="I25" s="695"/>
      <c r="J25" s="693"/>
      <c r="K25" s="693"/>
      <c r="L25" s="693"/>
      <c r="M25" s="695"/>
      <c r="N25" s="693"/>
      <c r="P25" s="656" t="s">
        <v>310</v>
      </c>
      <c r="Q25" s="657"/>
      <c r="R25" s="658"/>
    </row>
    <row r="26" spans="2:37" ht="15" customHeight="1" x14ac:dyDescent="0.2">
      <c r="B26" s="659" t="s">
        <v>721</v>
      </c>
      <c r="C26" s="660"/>
      <c r="D26" s="661"/>
      <c r="E26" s="662"/>
      <c r="F26" s="663">
        <f>C26+D26</f>
        <v>0</v>
      </c>
      <c r="G26" s="664"/>
      <c r="H26" s="661"/>
      <c r="I26" s="662"/>
      <c r="J26" s="696"/>
      <c r="K26" s="664"/>
      <c r="L26" s="661"/>
      <c r="M26" s="662"/>
      <c r="N26" s="696"/>
      <c r="P26" s="665">
        <f>D26*E26/100</f>
        <v>0</v>
      </c>
      <c r="Q26" s="472"/>
      <c r="R26" s="666"/>
    </row>
    <row r="27" spans="2:37" ht="15" customHeight="1" x14ac:dyDescent="0.2">
      <c r="B27" s="668" t="s">
        <v>286</v>
      </c>
      <c r="C27" s="669"/>
      <c r="D27" s="670"/>
      <c r="E27" s="671"/>
      <c r="F27" s="663">
        <f>C27+D27</f>
        <v>0</v>
      </c>
      <c r="G27" s="672"/>
      <c r="H27" s="670"/>
      <c r="I27" s="671"/>
      <c r="J27" s="696"/>
      <c r="K27" s="672"/>
      <c r="L27" s="670"/>
      <c r="M27" s="671"/>
      <c r="N27" s="696"/>
      <c r="P27" s="665">
        <f>D27*E27/100</f>
        <v>0</v>
      </c>
      <c r="Q27" s="472"/>
      <c r="R27" s="666"/>
    </row>
    <row r="28" spans="2:37" ht="15" customHeight="1" x14ac:dyDescent="0.2">
      <c r="B28" s="668" t="s">
        <v>307</v>
      </c>
      <c r="C28" s="669"/>
      <c r="D28" s="670"/>
      <c r="E28" s="671"/>
      <c r="F28" s="663">
        <f t="shared" ref="F28:F40" si="9">C28+D28</f>
        <v>0</v>
      </c>
      <c r="G28" s="672"/>
      <c r="H28" s="670"/>
      <c r="I28" s="671"/>
      <c r="J28" s="696"/>
      <c r="K28" s="672"/>
      <c r="L28" s="670"/>
      <c r="M28" s="671"/>
      <c r="N28" s="696"/>
      <c r="P28" s="665">
        <f t="shared" ref="P28:P40" si="10">D28*E28/100</f>
        <v>0</v>
      </c>
      <c r="Q28" s="472"/>
      <c r="R28" s="666"/>
    </row>
    <row r="29" spans="2:37" ht="15" customHeight="1" x14ac:dyDescent="0.2">
      <c r="B29" s="668" t="s">
        <v>287</v>
      </c>
      <c r="C29" s="669"/>
      <c r="D29" s="670"/>
      <c r="E29" s="671"/>
      <c r="F29" s="663">
        <f t="shared" si="9"/>
        <v>0</v>
      </c>
      <c r="G29" s="672"/>
      <c r="H29" s="670"/>
      <c r="I29" s="671"/>
      <c r="J29" s="696"/>
      <c r="K29" s="672"/>
      <c r="L29" s="670"/>
      <c r="M29" s="671"/>
      <c r="N29" s="696"/>
      <c r="P29" s="665">
        <f t="shared" si="10"/>
        <v>0</v>
      </c>
      <c r="Q29" s="472"/>
      <c r="R29" s="666"/>
    </row>
    <row r="30" spans="2:37" ht="15" customHeight="1" x14ac:dyDescent="0.2">
      <c r="B30" s="668" t="s">
        <v>288</v>
      </c>
      <c r="C30" s="669"/>
      <c r="D30" s="670"/>
      <c r="E30" s="671"/>
      <c r="F30" s="663">
        <f t="shared" si="9"/>
        <v>0</v>
      </c>
      <c r="G30" s="672"/>
      <c r="H30" s="670"/>
      <c r="I30" s="671"/>
      <c r="J30" s="696"/>
      <c r="K30" s="672"/>
      <c r="L30" s="670"/>
      <c r="M30" s="671"/>
      <c r="N30" s="696"/>
      <c r="P30" s="665">
        <f t="shared" si="10"/>
        <v>0</v>
      </c>
      <c r="Q30" s="472"/>
      <c r="R30" s="666"/>
    </row>
    <row r="31" spans="2:37" ht="15" customHeight="1" x14ac:dyDescent="0.2">
      <c r="B31" s="668" t="s">
        <v>305</v>
      </c>
      <c r="C31" s="669"/>
      <c r="D31" s="670"/>
      <c r="E31" s="671"/>
      <c r="F31" s="663">
        <f t="shared" si="9"/>
        <v>0</v>
      </c>
      <c r="G31" s="672"/>
      <c r="H31" s="670"/>
      <c r="I31" s="671"/>
      <c r="J31" s="696"/>
      <c r="K31" s="672"/>
      <c r="L31" s="670"/>
      <c r="M31" s="671"/>
      <c r="N31" s="696"/>
      <c r="P31" s="665">
        <f t="shared" si="10"/>
        <v>0</v>
      </c>
      <c r="Q31" s="472"/>
      <c r="R31" s="666"/>
    </row>
    <row r="32" spans="2:37" ht="15" customHeight="1" x14ac:dyDescent="0.2">
      <c r="B32" s="668" t="s">
        <v>289</v>
      </c>
      <c r="C32" s="669"/>
      <c r="D32" s="670"/>
      <c r="E32" s="671"/>
      <c r="F32" s="663">
        <f t="shared" si="9"/>
        <v>0</v>
      </c>
      <c r="G32" s="672"/>
      <c r="H32" s="670"/>
      <c r="I32" s="671"/>
      <c r="J32" s="696"/>
      <c r="K32" s="672"/>
      <c r="L32" s="670"/>
      <c r="M32" s="671"/>
      <c r="N32" s="696"/>
      <c r="P32" s="665">
        <f t="shared" si="10"/>
        <v>0</v>
      </c>
      <c r="Q32" s="472"/>
      <c r="R32" s="666"/>
    </row>
    <row r="33" spans="2:18" ht="15" customHeight="1" x14ac:dyDescent="0.2">
      <c r="B33" s="668" t="s">
        <v>306</v>
      </c>
      <c r="C33" s="669"/>
      <c r="D33" s="670"/>
      <c r="E33" s="671"/>
      <c r="F33" s="663">
        <f t="shared" si="9"/>
        <v>0</v>
      </c>
      <c r="G33" s="672"/>
      <c r="H33" s="670"/>
      <c r="I33" s="671"/>
      <c r="J33" s="696"/>
      <c r="K33" s="672"/>
      <c r="L33" s="670"/>
      <c r="M33" s="671"/>
      <c r="N33" s="696"/>
      <c r="P33" s="665">
        <f t="shared" si="10"/>
        <v>0</v>
      </c>
      <c r="Q33" s="472"/>
      <c r="R33" s="666"/>
    </row>
    <row r="34" spans="2:18" ht="15" customHeight="1" x14ac:dyDescent="0.2">
      <c r="B34" s="668" t="s">
        <v>290</v>
      </c>
      <c r="C34" s="669"/>
      <c r="D34" s="670"/>
      <c r="E34" s="671"/>
      <c r="F34" s="663">
        <f t="shared" si="9"/>
        <v>0</v>
      </c>
      <c r="G34" s="672"/>
      <c r="H34" s="670"/>
      <c r="I34" s="671"/>
      <c r="J34" s="696"/>
      <c r="K34" s="672"/>
      <c r="L34" s="670"/>
      <c r="M34" s="671"/>
      <c r="N34" s="696"/>
      <c r="P34" s="665">
        <f t="shared" si="10"/>
        <v>0</v>
      </c>
      <c r="Q34" s="472"/>
      <c r="R34" s="666"/>
    </row>
    <row r="35" spans="2:18" ht="15" customHeight="1" x14ac:dyDescent="0.2">
      <c r="B35" s="668" t="s">
        <v>291</v>
      </c>
      <c r="C35" s="669"/>
      <c r="D35" s="670"/>
      <c r="E35" s="671"/>
      <c r="F35" s="663">
        <f t="shared" si="9"/>
        <v>0</v>
      </c>
      <c r="G35" s="672"/>
      <c r="H35" s="670"/>
      <c r="I35" s="671"/>
      <c r="J35" s="696"/>
      <c r="K35" s="672"/>
      <c r="L35" s="670"/>
      <c r="M35" s="671"/>
      <c r="N35" s="696"/>
      <c r="P35" s="665">
        <f t="shared" si="10"/>
        <v>0</v>
      </c>
      <c r="Q35" s="472"/>
      <c r="R35" s="666"/>
    </row>
    <row r="36" spans="2:18" ht="15" customHeight="1" x14ac:dyDescent="0.2">
      <c r="B36" s="668" t="s">
        <v>292</v>
      </c>
      <c r="C36" s="669"/>
      <c r="D36" s="670"/>
      <c r="E36" s="671"/>
      <c r="F36" s="663">
        <f t="shared" si="9"/>
        <v>0</v>
      </c>
      <c r="G36" s="672"/>
      <c r="H36" s="670"/>
      <c r="I36" s="671"/>
      <c r="J36" s="696"/>
      <c r="K36" s="672"/>
      <c r="L36" s="670"/>
      <c r="M36" s="671"/>
      <c r="N36" s="696"/>
      <c r="P36" s="665">
        <f t="shared" si="10"/>
        <v>0</v>
      </c>
      <c r="Q36" s="472"/>
      <c r="R36" s="666"/>
    </row>
    <row r="37" spans="2:18" ht="15" customHeight="1" x14ac:dyDescent="0.2">
      <c r="B37" s="668" t="s">
        <v>293</v>
      </c>
      <c r="C37" s="669"/>
      <c r="D37" s="670"/>
      <c r="E37" s="671"/>
      <c r="F37" s="663">
        <f t="shared" si="9"/>
        <v>0</v>
      </c>
      <c r="G37" s="672"/>
      <c r="H37" s="670"/>
      <c r="I37" s="671"/>
      <c r="J37" s="696"/>
      <c r="K37" s="672"/>
      <c r="L37" s="670"/>
      <c r="M37" s="671"/>
      <c r="N37" s="696"/>
      <c r="P37" s="665">
        <f t="shared" si="10"/>
        <v>0</v>
      </c>
      <c r="Q37" s="472"/>
      <c r="R37" s="666"/>
    </row>
    <row r="38" spans="2:18" ht="15" customHeight="1" x14ac:dyDescent="0.2">
      <c r="B38" s="668" t="s">
        <v>294</v>
      </c>
      <c r="C38" s="669"/>
      <c r="D38" s="670"/>
      <c r="E38" s="671"/>
      <c r="F38" s="663">
        <f t="shared" si="9"/>
        <v>0</v>
      </c>
      <c r="G38" s="672"/>
      <c r="H38" s="670"/>
      <c r="I38" s="671"/>
      <c r="J38" s="696"/>
      <c r="K38" s="672"/>
      <c r="L38" s="670"/>
      <c r="M38" s="671"/>
      <c r="N38" s="696"/>
      <c r="P38" s="665">
        <f t="shared" si="10"/>
        <v>0</v>
      </c>
      <c r="Q38" s="472"/>
      <c r="R38" s="666"/>
    </row>
    <row r="39" spans="2:18" ht="15" customHeight="1" x14ac:dyDescent="0.2">
      <c r="B39" s="668" t="s">
        <v>295</v>
      </c>
      <c r="C39" s="669"/>
      <c r="D39" s="670"/>
      <c r="E39" s="671"/>
      <c r="F39" s="663">
        <f t="shared" si="9"/>
        <v>0</v>
      </c>
      <c r="G39" s="672"/>
      <c r="H39" s="670"/>
      <c r="I39" s="671"/>
      <c r="J39" s="696"/>
      <c r="K39" s="672"/>
      <c r="L39" s="670"/>
      <c r="M39" s="671"/>
      <c r="N39" s="696"/>
      <c r="P39" s="665">
        <f t="shared" si="10"/>
        <v>0</v>
      </c>
      <c r="Q39" s="472"/>
      <c r="R39" s="666"/>
    </row>
    <row r="40" spans="2:18" ht="15" customHeight="1" thickBot="1" x14ac:dyDescent="0.25">
      <c r="B40" s="677" t="s">
        <v>296</v>
      </c>
      <c r="C40" s="678"/>
      <c r="D40" s="679"/>
      <c r="E40" s="680"/>
      <c r="F40" s="681">
        <f t="shared" si="9"/>
        <v>0</v>
      </c>
      <c r="G40" s="672"/>
      <c r="H40" s="670"/>
      <c r="I40" s="671"/>
      <c r="J40" s="696"/>
      <c r="K40" s="672"/>
      <c r="L40" s="670"/>
      <c r="M40" s="671"/>
      <c r="N40" s="696"/>
      <c r="P40" s="683">
        <f t="shared" si="10"/>
        <v>0</v>
      </c>
      <c r="Q40" s="684"/>
      <c r="R40" s="685"/>
    </row>
    <row r="42" spans="2:18" ht="15" customHeight="1" thickBot="1" x14ac:dyDescent="0.25"/>
    <row r="43" spans="2:18" ht="15" customHeight="1" x14ac:dyDescent="0.2">
      <c r="B43" s="1000" t="s">
        <v>753</v>
      </c>
      <c r="C43" s="1002" t="s">
        <v>106</v>
      </c>
      <c r="D43" s="1002"/>
      <c r="E43" s="1002"/>
      <c r="F43" s="1002"/>
      <c r="G43" s="1002" t="s">
        <v>92</v>
      </c>
      <c r="H43" s="1002"/>
      <c r="I43" s="1002"/>
      <c r="J43" s="1002"/>
      <c r="K43" s="1002" t="s">
        <v>105</v>
      </c>
      <c r="L43" s="1002"/>
      <c r="M43" s="1002"/>
      <c r="N43" s="1002"/>
      <c r="P43" s="1003" t="s">
        <v>754</v>
      </c>
      <c r="Q43" s="996" t="s">
        <v>755</v>
      </c>
      <c r="R43" s="998" t="s">
        <v>756</v>
      </c>
    </row>
    <row r="44" spans="2:18" ht="15" customHeight="1" x14ac:dyDescent="0.2">
      <c r="B44" s="1000"/>
      <c r="C44" s="653" t="s">
        <v>78</v>
      </c>
      <c r="D44" s="653" t="s">
        <v>309</v>
      </c>
      <c r="E44" s="653"/>
      <c r="F44" s="653" t="s">
        <v>80</v>
      </c>
      <c r="G44" s="653" t="s">
        <v>78</v>
      </c>
      <c r="H44" s="653" t="s">
        <v>309</v>
      </c>
      <c r="I44" s="653"/>
      <c r="J44" s="653" t="s">
        <v>80</v>
      </c>
      <c r="K44" s="653" t="s">
        <v>78</v>
      </c>
      <c r="L44" s="653" t="s">
        <v>309</v>
      </c>
      <c r="M44" s="653"/>
      <c r="N44" s="653" t="s">
        <v>80</v>
      </c>
      <c r="P44" s="1004"/>
      <c r="Q44" s="997"/>
      <c r="R44" s="999"/>
    </row>
    <row r="45" spans="2:18" ht="15" customHeight="1" thickBot="1" x14ac:dyDescent="0.25">
      <c r="B45" s="1001"/>
      <c r="C45" s="654" t="s">
        <v>758</v>
      </c>
      <c r="D45" s="654" t="s">
        <v>758</v>
      </c>
      <c r="E45" s="655"/>
      <c r="F45" s="654" t="s">
        <v>758</v>
      </c>
      <c r="G45" s="654" t="s">
        <v>757</v>
      </c>
      <c r="H45" s="654" t="s">
        <v>757</v>
      </c>
      <c r="I45" s="655" t="s">
        <v>82</v>
      </c>
      <c r="J45" s="654" t="s">
        <v>757</v>
      </c>
      <c r="K45" s="654" t="s">
        <v>757</v>
      </c>
      <c r="L45" s="654" t="s">
        <v>757</v>
      </c>
      <c r="M45" s="655" t="s">
        <v>82</v>
      </c>
      <c r="N45" s="654" t="s">
        <v>757</v>
      </c>
      <c r="P45" s="656"/>
      <c r="Q45" s="657"/>
      <c r="R45" s="658"/>
    </row>
    <row r="46" spans="2:18" ht="15" customHeight="1" x14ac:dyDescent="0.2">
      <c r="B46" s="659" t="s">
        <v>721</v>
      </c>
      <c r="C46" s="660"/>
      <c r="D46" s="661"/>
      <c r="E46" s="662"/>
      <c r="F46" s="667"/>
      <c r="G46" s="660"/>
      <c r="H46" s="661"/>
      <c r="I46" s="662"/>
      <c r="J46" s="667"/>
      <c r="K46" s="660"/>
      <c r="L46" s="661"/>
      <c r="M46" s="662"/>
      <c r="N46" s="667"/>
      <c r="P46" s="665"/>
      <c r="Q46" s="472"/>
      <c r="R46" s="666"/>
    </row>
    <row r="47" spans="2:18" ht="15" customHeight="1" x14ac:dyDescent="0.2">
      <c r="B47" s="668" t="s">
        <v>286</v>
      </c>
      <c r="C47" s="697">
        <f>_xlfn.RANK.EQ(C7,$C$7:$C$20,0)</f>
        <v>5</v>
      </c>
      <c r="D47" s="698">
        <f>_xlfn.RANK.EQ(D7,$D$7:$D$20,0)</f>
        <v>9</v>
      </c>
      <c r="E47" s="671"/>
      <c r="F47" s="699">
        <f>_xlfn.RANK.EQ(F7,$F$7:$F$20,0)</f>
        <v>10</v>
      </c>
      <c r="G47" s="697">
        <f>_xlfn.RANK.EQ(G7,$G$7:$G$20,0)</f>
        <v>4</v>
      </c>
      <c r="H47" s="698">
        <f>_xlfn.RANK.EQ(H7,$H$7:$H$20,0)</f>
        <v>5</v>
      </c>
      <c r="I47" s="671"/>
      <c r="J47" s="699">
        <f>_xlfn.RANK.EQ(J7,$J$7:$J$20,0)</f>
        <v>3</v>
      </c>
      <c r="K47" s="697">
        <f>_xlfn.RANK.EQ(K7,$K$7:$K$20,0)</f>
        <v>7</v>
      </c>
      <c r="L47" s="698">
        <f>_xlfn.RANK.EQ(L7,$L$7:$L$20,0)</f>
        <v>9</v>
      </c>
      <c r="M47" s="671"/>
      <c r="N47" s="699">
        <f>_xlfn.RANK.EQ(N7,$N$7:$N$20,0)</f>
        <v>9</v>
      </c>
      <c r="P47" s="665"/>
      <c r="Q47" s="472"/>
      <c r="R47" s="666"/>
    </row>
    <row r="48" spans="2:18" ht="15" customHeight="1" x14ac:dyDescent="0.2">
      <c r="B48" s="668" t="s">
        <v>307</v>
      </c>
      <c r="C48" s="697">
        <f t="shared" ref="C48:C60" si="11">_xlfn.RANK.EQ(C8,$C$7:$C$20,0)</f>
        <v>8</v>
      </c>
      <c r="D48" s="698">
        <f t="shared" ref="D48:D60" si="12">_xlfn.RANK.EQ(D8,$D$7:$D$20,0)</f>
        <v>2</v>
      </c>
      <c r="E48" s="671"/>
      <c r="F48" s="699">
        <f t="shared" ref="F48:F60" si="13">_xlfn.RANK.EQ(F8,$F$7:$F$20,0)</f>
        <v>3</v>
      </c>
      <c r="G48" s="697">
        <f t="shared" ref="G48:G60" si="14">_xlfn.RANK.EQ(G8,$G$7:$G$20,0)</f>
        <v>7</v>
      </c>
      <c r="H48" s="698">
        <f t="shared" ref="H48:H60" si="15">_xlfn.RANK.EQ(H8,$H$7:$H$20,0)</f>
        <v>4</v>
      </c>
      <c r="I48" s="671"/>
      <c r="J48" s="699">
        <f t="shared" ref="J48:J60" si="16">_xlfn.RANK.EQ(J8,$J$7:$J$20,0)</f>
        <v>5</v>
      </c>
      <c r="K48" s="697">
        <f t="shared" ref="K48:K60" si="17">_xlfn.RANK.EQ(K8,$K$7:$K$20,0)</f>
        <v>9</v>
      </c>
      <c r="L48" s="698">
        <f t="shared" ref="L48:L60" si="18">_xlfn.RANK.EQ(L8,$L$7:$L$20,0)</f>
        <v>3</v>
      </c>
      <c r="M48" s="671"/>
      <c r="N48" s="699">
        <f t="shared" ref="N48:N60" si="19">_xlfn.RANK.EQ(N8,$N$7:$N$20,0)</f>
        <v>3</v>
      </c>
      <c r="P48" s="665"/>
      <c r="Q48" s="472"/>
      <c r="R48" s="666"/>
    </row>
    <row r="49" spans="2:18" ht="15" customHeight="1" x14ac:dyDescent="0.2">
      <c r="B49" s="668" t="s">
        <v>287</v>
      </c>
      <c r="C49" s="697">
        <f t="shared" si="11"/>
        <v>4</v>
      </c>
      <c r="D49" s="698">
        <f t="shared" si="12"/>
        <v>7</v>
      </c>
      <c r="E49" s="671"/>
      <c r="F49" s="699">
        <f t="shared" si="13"/>
        <v>5</v>
      </c>
      <c r="G49" s="697">
        <f t="shared" si="14"/>
        <v>2</v>
      </c>
      <c r="H49" s="698">
        <f t="shared" si="15"/>
        <v>9</v>
      </c>
      <c r="I49" s="671"/>
      <c r="J49" s="699">
        <f t="shared" si="16"/>
        <v>6</v>
      </c>
      <c r="K49" s="697">
        <f t="shared" si="17"/>
        <v>5</v>
      </c>
      <c r="L49" s="698">
        <f t="shared" si="18"/>
        <v>7</v>
      </c>
      <c r="M49" s="671"/>
      <c r="N49" s="699">
        <f t="shared" si="19"/>
        <v>7</v>
      </c>
      <c r="P49" s="665"/>
      <c r="Q49" s="472"/>
      <c r="R49" s="666"/>
    </row>
    <row r="50" spans="2:18" ht="15" customHeight="1" x14ac:dyDescent="0.2">
      <c r="B50" s="668" t="s">
        <v>288</v>
      </c>
      <c r="C50" s="697">
        <f t="shared" si="11"/>
        <v>10</v>
      </c>
      <c r="D50" s="698">
        <f t="shared" si="12"/>
        <v>11</v>
      </c>
      <c r="E50" s="671"/>
      <c r="F50" s="699">
        <f t="shared" si="13"/>
        <v>11</v>
      </c>
      <c r="G50" s="697">
        <f t="shared" si="14"/>
        <v>9</v>
      </c>
      <c r="H50" s="698">
        <f t="shared" si="15"/>
        <v>11</v>
      </c>
      <c r="I50" s="671"/>
      <c r="J50" s="699">
        <f t="shared" si="16"/>
        <v>10</v>
      </c>
      <c r="K50" s="697">
        <f t="shared" si="17"/>
        <v>11</v>
      </c>
      <c r="L50" s="698">
        <f t="shared" si="18"/>
        <v>12</v>
      </c>
      <c r="M50" s="671"/>
      <c r="N50" s="699">
        <f t="shared" si="19"/>
        <v>11</v>
      </c>
      <c r="P50" s="665"/>
      <c r="Q50" s="472"/>
      <c r="R50" s="666"/>
    </row>
    <row r="51" spans="2:18" ht="15" customHeight="1" x14ac:dyDescent="0.2">
      <c r="B51" s="668" t="s">
        <v>305</v>
      </c>
      <c r="C51" s="697">
        <f t="shared" si="11"/>
        <v>13</v>
      </c>
      <c r="D51" s="698">
        <f t="shared" si="12"/>
        <v>14</v>
      </c>
      <c r="E51" s="671"/>
      <c r="F51" s="699">
        <f t="shared" si="13"/>
        <v>14</v>
      </c>
      <c r="G51" s="697">
        <f t="shared" si="14"/>
        <v>13</v>
      </c>
      <c r="H51" s="698">
        <f t="shared" si="15"/>
        <v>14</v>
      </c>
      <c r="I51" s="671"/>
      <c r="J51" s="699">
        <f t="shared" si="16"/>
        <v>14</v>
      </c>
      <c r="K51" s="697">
        <f t="shared" si="17"/>
        <v>14</v>
      </c>
      <c r="L51" s="698">
        <f t="shared" si="18"/>
        <v>14</v>
      </c>
      <c r="M51" s="671"/>
      <c r="N51" s="699">
        <f t="shared" si="19"/>
        <v>14</v>
      </c>
      <c r="P51" s="665"/>
      <c r="Q51" s="472"/>
      <c r="R51" s="666"/>
    </row>
    <row r="52" spans="2:18" ht="15" customHeight="1" x14ac:dyDescent="0.2">
      <c r="B52" s="668" t="s">
        <v>289</v>
      </c>
      <c r="C52" s="697">
        <f t="shared" si="11"/>
        <v>14</v>
      </c>
      <c r="D52" s="698">
        <f t="shared" si="12"/>
        <v>13</v>
      </c>
      <c r="E52" s="671"/>
      <c r="F52" s="699">
        <f t="shared" si="13"/>
        <v>13</v>
      </c>
      <c r="G52" s="697">
        <f t="shared" si="14"/>
        <v>14</v>
      </c>
      <c r="H52" s="698">
        <f t="shared" si="15"/>
        <v>13</v>
      </c>
      <c r="I52" s="671"/>
      <c r="J52" s="699">
        <f t="shared" si="16"/>
        <v>13</v>
      </c>
      <c r="K52" s="697">
        <f t="shared" si="17"/>
        <v>13</v>
      </c>
      <c r="L52" s="698">
        <f t="shared" si="18"/>
        <v>13</v>
      </c>
      <c r="M52" s="671"/>
      <c r="N52" s="699">
        <f t="shared" si="19"/>
        <v>13</v>
      </c>
      <c r="P52" s="665"/>
      <c r="Q52" s="472"/>
      <c r="R52" s="666"/>
    </row>
    <row r="53" spans="2:18" ht="15" customHeight="1" x14ac:dyDescent="0.2">
      <c r="B53" s="668" t="s">
        <v>306</v>
      </c>
      <c r="C53" s="697">
        <f t="shared" si="11"/>
        <v>11</v>
      </c>
      <c r="D53" s="698">
        <f t="shared" si="12"/>
        <v>6</v>
      </c>
      <c r="E53" s="671"/>
      <c r="F53" s="699">
        <f t="shared" si="13"/>
        <v>7</v>
      </c>
      <c r="G53" s="697">
        <f t="shared" si="14"/>
        <v>11</v>
      </c>
      <c r="H53" s="698">
        <f t="shared" si="15"/>
        <v>10</v>
      </c>
      <c r="I53" s="671"/>
      <c r="J53" s="699">
        <f t="shared" si="16"/>
        <v>11</v>
      </c>
      <c r="K53" s="697">
        <f t="shared" si="17"/>
        <v>6</v>
      </c>
      <c r="L53" s="698">
        <f t="shared" si="18"/>
        <v>4</v>
      </c>
      <c r="M53" s="671"/>
      <c r="N53" s="699">
        <f t="shared" si="19"/>
        <v>5</v>
      </c>
      <c r="P53" s="665"/>
      <c r="Q53" s="472"/>
      <c r="R53" s="666"/>
    </row>
    <row r="54" spans="2:18" ht="15" customHeight="1" x14ac:dyDescent="0.2">
      <c r="B54" s="668" t="s">
        <v>290</v>
      </c>
      <c r="C54" s="697">
        <f t="shared" si="11"/>
        <v>9</v>
      </c>
      <c r="D54" s="698">
        <f t="shared" si="12"/>
        <v>12</v>
      </c>
      <c r="E54" s="671"/>
      <c r="F54" s="699">
        <f t="shared" si="13"/>
        <v>12</v>
      </c>
      <c r="G54" s="697">
        <f t="shared" si="14"/>
        <v>10</v>
      </c>
      <c r="H54" s="698">
        <f t="shared" si="15"/>
        <v>12</v>
      </c>
      <c r="I54" s="671"/>
      <c r="J54" s="699">
        <f t="shared" si="16"/>
        <v>12</v>
      </c>
      <c r="K54" s="697">
        <f t="shared" si="17"/>
        <v>3</v>
      </c>
      <c r="L54" s="698">
        <f t="shared" si="18"/>
        <v>10</v>
      </c>
      <c r="M54" s="671"/>
      <c r="N54" s="699">
        <f t="shared" si="19"/>
        <v>10</v>
      </c>
      <c r="P54" s="665"/>
      <c r="Q54" s="472"/>
      <c r="R54" s="666"/>
    </row>
    <row r="55" spans="2:18" ht="15" customHeight="1" x14ac:dyDescent="0.2">
      <c r="B55" s="668" t="s">
        <v>291</v>
      </c>
      <c r="C55" s="697">
        <f t="shared" si="11"/>
        <v>1</v>
      </c>
      <c r="D55" s="698">
        <f t="shared" si="12"/>
        <v>10</v>
      </c>
      <c r="E55" s="671"/>
      <c r="F55" s="699">
        <f t="shared" si="13"/>
        <v>9</v>
      </c>
      <c r="G55" s="697">
        <f t="shared" si="14"/>
        <v>1</v>
      </c>
      <c r="H55" s="698">
        <f t="shared" si="15"/>
        <v>1</v>
      </c>
      <c r="I55" s="671"/>
      <c r="J55" s="699">
        <f t="shared" si="16"/>
        <v>1</v>
      </c>
      <c r="K55" s="697">
        <f t="shared" si="17"/>
        <v>12</v>
      </c>
      <c r="L55" s="698">
        <f t="shared" si="18"/>
        <v>11</v>
      </c>
      <c r="M55" s="671"/>
      <c r="N55" s="699">
        <f t="shared" si="19"/>
        <v>12</v>
      </c>
      <c r="P55" s="665"/>
      <c r="Q55" s="472"/>
      <c r="R55" s="666"/>
    </row>
    <row r="56" spans="2:18" ht="15" customHeight="1" x14ac:dyDescent="0.2">
      <c r="B56" s="668" t="s">
        <v>292</v>
      </c>
      <c r="C56" s="697">
        <f t="shared" si="11"/>
        <v>2</v>
      </c>
      <c r="D56" s="698">
        <f t="shared" si="12"/>
        <v>3</v>
      </c>
      <c r="E56" s="671"/>
      <c r="F56" s="699">
        <f t="shared" si="13"/>
        <v>2</v>
      </c>
      <c r="G56" s="697">
        <f t="shared" si="14"/>
        <v>6</v>
      </c>
      <c r="H56" s="698">
        <f t="shared" si="15"/>
        <v>8</v>
      </c>
      <c r="I56" s="671"/>
      <c r="J56" s="699">
        <f t="shared" si="16"/>
        <v>8</v>
      </c>
      <c r="K56" s="697">
        <f t="shared" si="17"/>
        <v>1</v>
      </c>
      <c r="L56" s="698">
        <f t="shared" si="18"/>
        <v>2</v>
      </c>
      <c r="M56" s="671"/>
      <c r="N56" s="699">
        <f t="shared" si="19"/>
        <v>1</v>
      </c>
      <c r="P56" s="665"/>
      <c r="Q56" s="472"/>
      <c r="R56" s="666"/>
    </row>
    <row r="57" spans="2:18" ht="15" customHeight="1" x14ac:dyDescent="0.2">
      <c r="B57" s="668" t="s">
        <v>293</v>
      </c>
      <c r="C57" s="697">
        <f t="shared" si="11"/>
        <v>12</v>
      </c>
      <c r="D57" s="698">
        <f t="shared" si="12"/>
        <v>5</v>
      </c>
      <c r="E57" s="671"/>
      <c r="F57" s="699">
        <f t="shared" si="13"/>
        <v>6</v>
      </c>
      <c r="G57" s="697">
        <f t="shared" si="14"/>
        <v>12</v>
      </c>
      <c r="H57" s="698">
        <f t="shared" si="15"/>
        <v>7</v>
      </c>
      <c r="I57" s="671"/>
      <c r="J57" s="699">
        <f t="shared" si="16"/>
        <v>9</v>
      </c>
      <c r="K57" s="697">
        <f t="shared" si="17"/>
        <v>10</v>
      </c>
      <c r="L57" s="698">
        <f t="shared" si="18"/>
        <v>6</v>
      </c>
      <c r="M57" s="671"/>
      <c r="N57" s="699">
        <f t="shared" si="19"/>
        <v>6</v>
      </c>
      <c r="P57" s="665"/>
      <c r="Q57" s="472"/>
      <c r="R57" s="666"/>
    </row>
    <row r="58" spans="2:18" ht="15" customHeight="1" x14ac:dyDescent="0.2">
      <c r="B58" s="668" t="s">
        <v>294</v>
      </c>
      <c r="C58" s="697">
        <f t="shared" si="11"/>
        <v>7</v>
      </c>
      <c r="D58" s="698">
        <f t="shared" si="12"/>
        <v>4</v>
      </c>
      <c r="E58" s="671"/>
      <c r="F58" s="699">
        <f t="shared" si="13"/>
        <v>4</v>
      </c>
      <c r="G58" s="697">
        <f t="shared" si="14"/>
        <v>8</v>
      </c>
      <c r="H58" s="698">
        <f t="shared" si="15"/>
        <v>3</v>
      </c>
      <c r="I58" s="671"/>
      <c r="J58" s="699">
        <f t="shared" si="16"/>
        <v>7</v>
      </c>
      <c r="K58" s="697">
        <f t="shared" si="17"/>
        <v>4</v>
      </c>
      <c r="L58" s="698">
        <f t="shared" si="18"/>
        <v>5</v>
      </c>
      <c r="M58" s="671"/>
      <c r="N58" s="699">
        <f t="shared" si="19"/>
        <v>4</v>
      </c>
      <c r="P58" s="665"/>
      <c r="Q58" s="472"/>
      <c r="R58" s="666"/>
    </row>
    <row r="59" spans="2:18" ht="15" customHeight="1" x14ac:dyDescent="0.2">
      <c r="B59" s="668" t="s">
        <v>295</v>
      </c>
      <c r="C59" s="697">
        <f t="shared" si="11"/>
        <v>3</v>
      </c>
      <c r="D59" s="698">
        <f t="shared" si="12"/>
        <v>1</v>
      </c>
      <c r="E59" s="671"/>
      <c r="F59" s="699">
        <f t="shared" si="13"/>
        <v>1</v>
      </c>
      <c r="G59" s="697">
        <f t="shared" si="14"/>
        <v>3</v>
      </c>
      <c r="H59" s="698">
        <f t="shared" si="15"/>
        <v>2</v>
      </c>
      <c r="I59" s="671"/>
      <c r="J59" s="699">
        <f t="shared" si="16"/>
        <v>2</v>
      </c>
      <c r="K59" s="697">
        <f t="shared" si="17"/>
        <v>2</v>
      </c>
      <c r="L59" s="698">
        <f t="shared" si="18"/>
        <v>1</v>
      </c>
      <c r="M59" s="671"/>
      <c r="N59" s="699">
        <f t="shared" si="19"/>
        <v>2</v>
      </c>
      <c r="P59" s="665"/>
      <c r="Q59" s="472"/>
      <c r="R59" s="666"/>
    </row>
    <row r="60" spans="2:18" ht="15" customHeight="1" thickBot="1" x14ac:dyDescent="0.25">
      <c r="B60" s="677" t="s">
        <v>296</v>
      </c>
      <c r="C60" s="700">
        <f t="shared" si="11"/>
        <v>6</v>
      </c>
      <c r="D60" s="701">
        <f t="shared" si="12"/>
        <v>8</v>
      </c>
      <c r="E60" s="680"/>
      <c r="F60" s="702">
        <f t="shared" si="13"/>
        <v>8</v>
      </c>
      <c r="G60" s="700">
        <f t="shared" si="14"/>
        <v>5</v>
      </c>
      <c r="H60" s="701">
        <f t="shared" si="15"/>
        <v>6</v>
      </c>
      <c r="I60" s="680"/>
      <c r="J60" s="702">
        <f t="shared" si="16"/>
        <v>4</v>
      </c>
      <c r="K60" s="700">
        <f t="shared" si="17"/>
        <v>8</v>
      </c>
      <c r="L60" s="701">
        <f t="shared" si="18"/>
        <v>8</v>
      </c>
      <c r="M60" s="680"/>
      <c r="N60" s="702">
        <f t="shared" si="19"/>
        <v>8</v>
      </c>
      <c r="P60" s="683"/>
      <c r="Q60" s="684"/>
      <c r="R60" s="685"/>
    </row>
    <row r="62" spans="2:18" ht="15" customHeight="1" thickBot="1" x14ac:dyDescent="0.25"/>
    <row r="63" spans="2:18" ht="15" customHeight="1" x14ac:dyDescent="0.2">
      <c r="B63" s="1000" t="s">
        <v>753</v>
      </c>
      <c r="C63" s="1002" t="s">
        <v>76</v>
      </c>
      <c r="D63" s="1002"/>
      <c r="E63" s="1002"/>
      <c r="F63" s="1005"/>
      <c r="G63" s="690"/>
      <c r="H63" s="691"/>
      <c r="I63" s="691"/>
      <c r="J63" s="691"/>
      <c r="K63" s="691"/>
      <c r="L63" s="691"/>
      <c r="M63" s="691"/>
      <c r="N63" s="691"/>
      <c r="P63" s="1003" t="s">
        <v>520</v>
      </c>
      <c r="Q63" s="996"/>
      <c r="R63" s="998"/>
    </row>
    <row r="64" spans="2:18" ht="15" customHeight="1" x14ac:dyDescent="0.2">
      <c r="B64" s="1000"/>
      <c r="C64" s="653" t="s">
        <v>78</v>
      </c>
      <c r="D64" s="653" t="s">
        <v>309</v>
      </c>
      <c r="E64" s="653"/>
      <c r="F64" s="692" t="s">
        <v>80</v>
      </c>
      <c r="G64" s="693"/>
      <c r="H64" s="693"/>
      <c r="I64" s="693"/>
      <c r="J64" s="693"/>
      <c r="K64" s="693"/>
      <c r="L64" s="693"/>
      <c r="M64" s="693"/>
      <c r="N64" s="693"/>
      <c r="P64" s="1004"/>
      <c r="Q64" s="997"/>
      <c r="R64" s="999"/>
    </row>
    <row r="65" spans="2:18" ht="15" customHeight="1" thickBot="1" x14ac:dyDescent="0.25">
      <c r="B65" s="1001"/>
      <c r="C65" s="654" t="s">
        <v>757</v>
      </c>
      <c r="D65" s="654" t="s">
        <v>757</v>
      </c>
      <c r="E65" s="655" t="s">
        <v>82</v>
      </c>
      <c r="F65" s="694" t="s">
        <v>757</v>
      </c>
      <c r="G65" s="693"/>
      <c r="H65" s="693"/>
      <c r="I65" s="695"/>
      <c r="J65" s="693"/>
      <c r="K65" s="693"/>
      <c r="L65" s="693"/>
      <c r="M65" s="695"/>
      <c r="N65" s="693"/>
      <c r="P65" s="656"/>
      <c r="Q65" s="657"/>
      <c r="R65" s="658"/>
    </row>
    <row r="66" spans="2:18" ht="15" customHeight="1" x14ac:dyDescent="0.2">
      <c r="B66" s="659" t="s">
        <v>721</v>
      </c>
      <c r="C66" s="660"/>
      <c r="D66" s="661"/>
      <c r="E66" s="662"/>
      <c r="F66" s="667"/>
      <c r="G66" s="664"/>
      <c r="H66" s="661"/>
      <c r="I66" s="662"/>
      <c r="J66" s="696"/>
      <c r="K66" s="664"/>
      <c r="L66" s="661"/>
      <c r="M66" s="662"/>
      <c r="N66" s="696"/>
      <c r="P66" s="665"/>
      <c r="Q66" s="472"/>
      <c r="R66" s="666"/>
    </row>
    <row r="67" spans="2:18" ht="15" customHeight="1" x14ac:dyDescent="0.2">
      <c r="B67" s="668" t="s">
        <v>286</v>
      </c>
      <c r="C67" s="697" t="e">
        <f>_xlfn.RANK.EQ(C27,$C$27:$C$40,0)</f>
        <v>#N/A</v>
      </c>
      <c r="D67" s="698" t="e">
        <f>_xlfn.RANK.EQ(D27,$D$27:$D$40,0)</f>
        <v>#N/A</v>
      </c>
      <c r="E67" s="671"/>
      <c r="F67" s="699">
        <f>_xlfn.RANK.EQ(F27,$F$27:$F$40,0)</f>
        <v>1</v>
      </c>
      <c r="G67" s="672"/>
      <c r="H67" s="670"/>
      <c r="I67" s="671"/>
      <c r="J67" s="696"/>
      <c r="K67" s="672"/>
      <c r="L67" s="670"/>
      <c r="M67" s="671"/>
      <c r="N67" s="696"/>
      <c r="P67" s="665"/>
      <c r="Q67" s="472"/>
      <c r="R67" s="666"/>
    </row>
    <row r="68" spans="2:18" ht="15" customHeight="1" x14ac:dyDescent="0.2">
      <c r="B68" s="668" t="s">
        <v>307</v>
      </c>
      <c r="C68" s="697" t="e">
        <f t="shared" ref="C68:C80" si="20">_xlfn.RANK.EQ(C28,$C$27:$C$40,0)</f>
        <v>#N/A</v>
      </c>
      <c r="D68" s="698" t="e">
        <f t="shared" ref="D68:D80" si="21">_xlfn.RANK.EQ(D28,$D$27:$D$40,0)</f>
        <v>#N/A</v>
      </c>
      <c r="E68" s="671"/>
      <c r="F68" s="699">
        <f t="shared" ref="F68:F80" si="22">_xlfn.RANK.EQ(F28,$F$27:$F$40,0)</f>
        <v>1</v>
      </c>
      <c r="G68" s="672"/>
      <c r="H68" s="670"/>
      <c r="I68" s="671"/>
      <c r="J68" s="696"/>
      <c r="K68" s="672"/>
      <c r="L68" s="670"/>
      <c r="M68" s="671"/>
      <c r="N68" s="696"/>
      <c r="P68" s="665"/>
      <c r="Q68" s="472"/>
      <c r="R68" s="666"/>
    </row>
    <row r="69" spans="2:18" ht="15" customHeight="1" x14ac:dyDescent="0.2">
      <c r="B69" s="668" t="s">
        <v>287</v>
      </c>
      <c r="C69" s="697" t="e">
        <f t="shared" si="20"/>
        <v>#N/A</v>
      </c>
      <c r="D69" s="698" t="e">
        <f t="shared" si="21"/>
        <v>#N/A</v>
      </c>
      <c r="E69" s="671"/>
      <c r="F69" s="699">
        <f t="shared" si="22"/>
        <v>1</v>
      </c>
      <c r="G69" s="672"/>
      <c r="H69" s="670"/>
      <c r="I69" s="671"/>
      <c r="J69" s="696"/>
      <c r="K69" s="672"/>
      <c r="L69" s="670"/>
      <c r="M69" s="671"/>
      <c r="N69" s="696"/>
      <c r="P69" s="665"/>
      <c r="Q69" s="472"/>
      <c r="R69" s="666"/>
    </row>
    <row r="70" spans="2:18" ht="15" customHeight="1" x14ac:dyDescent="0.2">
      <c r="B70" s="668" t="s">
        <v>288</v>
      </c>
      <c r="C70" s="697" t="e">
        <f t="shared" si="20"/>
        <v>#N/A</v>
      </c>
      <c r="D70" s="698" t="e">
        <f t="shared" si="21"/>
        <v>#N/A</v>
      </c>
      <c r="E70" s="671"/>
      <c r="F70" s="699">
        <f t="shared" si="22"/>
        <v>1</v>
      </c>
      <c r="G70" s="672"/>
      <c r="H70" s="670"/>
      <c r="I70" s="671"/>
      <c r="J70" s="696"/>
      <c r="K70" s="672"/>
      <c r="L70" s="670"/>
      <c r="M70" s="671"/>
      <c r="N70" s="696"/>
      <c r="P70" s="665"/>
      <c r="Q70" s="472"/>
      <c r="R70" s="666"/>
    </row>
    <row r="71" spans="2:18" ht="15" customHeight="1" x14ac:dyDescent="0.2">
      <c r="B71" s="668" t="s">
        <v>305</v>
      </c>
      <c r="C71" s="697" t="e">
        <f t="shared" si="20"/>
        <v>#N/A</v>
      </c>
      <c r="D71" s="698" t="e">
        <f t="shared" si="21"/>
        <v>#N/A</v>
      </c>
      <c r="E71" s="671"/>
      <c r="F71" s="699">
        <f t="shared" si="22"/>
        <v>1</v>
      </c>
      <c r="G71" s="672"/>
      <c r="H71" s="670"/>
      <c r="I71" s="671"/>
      <c r="J71" s="696"/>
      <c r="K71" s="672"/>
      <c r="L71" s="670"/>
      <c r="M71" s="671"/>
      <c r="N71" s="696"/>
      <c r="P71" s="665"/>
      <c r="Q71" s="472"/>
      <c r="R71" s="666"/>
    </row>
    <row r="72" spans="2:18" ht="15" customHeight="1" x14ac:dyDescent="0.2">
      <c r="B72" s="668" t="s">
        <v>289</v>
      </c>
      <c r="C72" s="697" t="e">
        <f t="shared" si="20"/>
        <v>#N/A</v>
      </c>
      <c r="D72" s="698" t="e">
        <f t="shared" si="21"/>
        <v>#N/A</v>
      </c>
      <c r="E72" s="671"/>
      <c r="F72" s="699">
        <f t="shared" si="22"/>
        <v>1</v>
      </c>
      <c r="G72" s="672"/>
      <c r="H72" s="670"/>
      <c r="I72" s="671"/>
      <c r="J72" s="696"/>
      <c r="K72" s="672"/>
      <c r="L72" s="670"/>
      <c r="M72" s="671"/>
      <c r="N72" s="696"/>
      <c r="P72" s="665"/>
      <c r="Q72" s="472"/>
      <c r="R72" s="666"/>
    </row>
    <row r="73" spans="2:18" ht="15" customHeight="1" x14ac:dyDescent="0.2">
      <c r="B73" s="668" t="s">
        <v>306</v>
      </c>
      <c r="C73" s="697" t="e">
        <f t="shared" si="20"/>
        <v>#N/A</v>
      </c>
      <c r="D73" s="698" t="e">
        <f t="shared" si="21"/>
        <v>#N/A</v>
      </c>
      <c r="E73" s="671"/>
      <c r="F73" s="699">
        <f t="shared" si="22"/>
        <v>1</v>
      </c>
      <c r="G73" s="672"/>
      <c r="H73" s="670"/>
      <c r="I73" s="671"/>
      <c r="J73" s="696"/>
      <c r="K73" s="672"/>
      <c r="L73" s="670"/>
      <c r="M73" s="671"/>
      <c r="N73" s="696"/>
      <c r="P73" s="665"/>
      <c r="Q73" s="472"/>
      <c r="R73" s="666"/>
    </row>
    <row r="74" spans="2:18" ht="15" customHeight="1" x14ac:dyDescent="0.2">
      <c r="B74" s="668" t="s">
        <v>290</v>
      </c>
      <c r="C74" s="697" t="e">
        <f t="shared" si="20"/>
        <v>#N/A</v>
      </c>
      <c r="D74" s="698" t="e">
        <f t="shared" si="21"/>
        <v>#N/A</v>
      </c>
      <c r="E74" s="671"/>
      <c r="F74" s="699">
        <f t="shared" si="22"/>
        <v>1</v>
      </c>
      <c r="G74" s="672"/>
      <c r="H74" s="670"/>
      <c r="I74" s="671"/>
      <c r="J74" s="696"/>
      <c r="K74" s="672"/>
      <c r="L74" s="670"/>
      <c r="M74" s="671"/>
      <c r="N74" s="696"/>
      <c r="P74" s="665"/>
      <c r="Q74" s="472"/>
      <c r="R74" s="666"/>
    </row>
    <row r="75" spans="2:18" ht="15" customHeight="1" x14ac:dyDescent="0.2">
      <c r="B75" s="668" t="s">
        <v>291</v>
      </c>
      <c r="C75" s="697" t="e">
        <f t="shared" si="20"/>
        <v>#N/A</v>
      </c>
      <c r="D75" s="698" t="e">
        <f t="shared" si="21"/>
        <v>#N/A</v>
      </c>
      <c r="E75" s="671"/>
      <c r="F75" s="699">
        <f t="shared" si="22"/>
        <v>1</v>
      </c>
      <c r="G75" s="672"/>
      <c r="H75" s="670"/>
      <c r="I75" s="671"/>
      <c r="J75" s="696"/>
      <c r="K75" s="672"/>
      <c r="L75" s="670"/>
      <c r="M75" s="671"/>
      <c r="N75" s="696"/>
      <c r="P75" s="665"/>
      <c r="Q75" s="472"/>
      <c r="R75" s="666"/>
    </row>
    <row r="76" spans="2:18" ht="15" customHeight="1" x14ac:dyDescent="0.2">
      <c r="B76" s="668" t="s">
        <v>292</v>
      </c>
      <c r="C76" s="697" t="e">
        <f t="shared" si="20"/>
        <v>#N/A</v>
      </c>
      <c r="D76" s="698" t="e">
        <f t="shared" si="21"/>
        <v>#N/A</v>
      </c>
      <c r="E76" s="671"/>
      <c r="F76" s="699">
        <f t="shared" si="22"/>
        <v>1</v>
      </c>
      <c r="G76" s="672"/>
      <c r="H76" s="670"/>
      <c r="I76" s="671"/>
      <c r="J76" s="696"/>
      <c r="K76" s="672"/>
      <c r="L76" s="670"/>
      <c r="M76" s="671"/>
      <c r="N76" s="696"/>
      <c r="P76" s="665"/>
      <c r="Q76" s="472"/>
      <c r="R76" s="666"/>
    </row>
    <row r="77" spans="2:18" ht="15" customHeight="1" x14ac:dyDescent="0.2">
      <c r="B77" s="668" t="s">
        <v>293</v>
      </c>
      <c r="C77" s="697" t="e">
        <f t="shared" si="20"/>
        <v>#N/A</v>
      </c>
      <c r="D77" s="698" t="e">
        <f t="shared" si="21"/>
        <v>#N/A</v>
      </c>
      <c r="E77" s="671"/>
      <c r="F77" s="699">
        <f t="shared" si="22"/>
        <v>1</v>
      </c>
      <c r="G77" s="672"/>
      <c r="H77" s="670"/>
      <c r="I77" s="671"/>
      <c r="J77" s="696"/>
      <c r="K77" s="672"/>
      <c r="L77" s="670"/>
      <c r="M77" s="671"/>
      <c r="N77" s="696"/>
      <c r="P77" s="665"/>
      <c r="Q77" s="472"/>
      <c r="R77" s="666"/>
    </row>
    <row r="78" spans="2:18" ht="15" customHeight="1" x14ac:dyDescent="0.2">
      <c r="B78" s="668" t="s">
        <v>294</v>
      </c>
      <c r="C78" s="697" t="e">
        <f t="shared" si="20"/>
        <v>#N/A</v>
      </c>
      <c r="D78" s="698" t="e">
        <f t="shared" si="21"/>
        <v>#N/A</v>
      </c>
      <c r="E78" s="671"/>
      <c r="F78" s="699">
        <f t="shared" si="22"/>
        <v>1</v>
      </c>
      <c r="G78" s="672"/>
      <c r="H78" s="670"/>
      <c r="I78" s="671"/>
      <c r="J78" s="696"/>
      <c r="K78" s="672"/>
      <c r="L78" s="670"/>
      <c r="M78" s="671"/>
      <c r="N78" s="696"/>
      <c r="P78" s="665"/>
      <c r="Q78" s="472"/>
      <c r="R78" s="666"/>
    </row>
    <row r="79" spans="2:18" ht="15" customHeight="1" x14ac:dyDescent="0.2">
      <c r="B79" s="668" t="s">
        <v>295</v>
      </c>
      <c r="C79" s="697" t="e">
        <f t="shared" si="20"/>
        <v>#N/A</v>
      </c>
      <c r="D79" s="698" t="e">
        <f t="shared" si="21"/>
        <v>#N/A</v>
      </c>
      <c r="E79" s="671"/>
      <c r="F79" s="699">
        <f t="shared" si="22"/>
        <v>1</v>
      </c>
      <c r="G79" s="672"/>
      <c r="H79" s="670"/>
      <c r="I79" s="671"/>
      <c r="J79" s="696"/>
      <c r="K79" s="672"/>
      <c r="L79" s="670"/>
      <c r="M79" s="671"/>
      <c r="N79" s="696"/>
      <c r="P79" s="665"/>
      <c r="Q79" s="472"/>
      <c r="R79" s="666"/>
    </row>
    <row r="80" spans="2:18" ht="15" customHeight="1" thickBot="1" x14ac:dyDescent="0.25">
      <c r="B80" s="677" t="s">
        <v>296</v>
      </c>
      <c r="C80" s="700" t="e">
        <f t="shared" si="20"/>
        <v>#N/A</v>
      </c>
      <c r="D80" s="701" t="e">
        <f t="shared" si="21"/>
        <v>#N/A</v>
      </c>
      <c r="E80" s="680"/>
      <c r="F80" s="702">
        <f t="shared" si="22"/>
        <v>1</v>
      </c>
      <c r="G80" s="672"/>
      <c r="H80" s="670"/>
      <c r="I80" s="671"/>
      <c r="J80" s="696"/>
      <c r="K80" s="672"/>
      <c r="L80" s="670"/>
      <c r="M80" s="671"/>
      <c r="N80" s="696"/>
      <c r="P80" s="683"/>
      <c r="Q80" s="684"/>
      <c r="R80" s="685"/>
    </row>
  </sheetData>
  <mergeCells count="31">
    <mergeCell ref="B3:B5"/>
    <mergeCell ref="C3:F3"/>
    <mergeCell ref="G3:J3"/>
    <mergeCell ref="R43:R44"/>
    <mergeCell ref="B63:B65"/>
    <mergeCell ref="C63:F63"/>
    <mergeCell ref="P63:P64"/>
    <mergeCell ref="Q63:Q64"/>
    <mergeCell ref="R63:R64"/>
    <mergeCell ref="B43:B45"/>
    <mergeCell ref="C43:F43"/>
    <mergeCell ref="G43:J43"/>
    <mergeCell ref="K43:N43"/>
    <mergeCell ref="P43:P44"/>
    <mergeCell ref="Q43:Q44"/>
    <mergeCell ref="B23:B25"/>
    <mergeCell ref="C23:F23"/>
    <mergeCell ref="P23:P24"/>
    <mergeCell ref="Q23:Q24"/>
    <mergeCell ref="R23:R24"/>
    <mergeCell ref="K3:N3"/>
    <mergeCell ref="P3:P4"/>
    <mergeCell ref="Q3:Q4"/>
    <mergeCell ref="AJ3:AJ4"/>
    <mergeCell ref="AK3:AK4"/>
    <mergeCell ref="R3:R4"/>
    <mergeCell ref="U3:U5"/>
    <mergeCell ref="V3:Y3"/>
    <mergeCell ref="Z3:AC3"/>
    <mergeCell ref="AD3:AG3"/>
    <mergeCell ref="AI3:AI4"/>
  </mergeCell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2" tint="-0.249977111117893"/>
  </sheetPr>
  <dimension ref="B3:F20"/>
  <sheetViews>
    <sheetView workbookViewId="0"/>
  </sheetViews>
  <sheetFormatPr defaultRowHeight="15" customHeight="1" x14ac:dyDescent="0.2"/>
  <cols>
    <col min="2" max="2" width="25.625" customWidth="1"/>
    <col min="3" max="5" width="22.625" customWidth="1"/>
    <col min="6" max="6" width="20.625" customWidth="1"/>
  </cols>
  <sheetData>
    <row r="3" spans="2:6" ht="15" customHeight="1" x14ac:dyDescent="0.2">
      <c r="B3" t="s">
        <v>203</v>
      </c>
      <c r="C3" t="s">
        <v>440</v>
      </c>
    </row>
    <row r="5" spans="2:6" ht="60" customHeight="1" x14ac:dyDescent="0.2">
      <c r="B5" s="957" t="s">
        <v>160</v>
      </c>
      <c r="C5" s="202" t="s">
        <v>160</v>
      </c>
      <c r="D5" s="202" t="s">
        <v>161</v>
      </c>
      <c r="E5" s="202" t="s">
        <v>162</v>
      </c>
      <c r="F5" s="202" t="s">
        <v>163</v>
      </c>
    </row>
    <row r="6" spans="2:6" ht="15" customHeight="1" x14ac:dyDescent="0.2">
      <c r="B6" s="203" t="str">
        <f>Index!$B$4</f>
        <v>England</v>
      </c>
      <c r="C6" s="959">
        <f>'Square data'!D4</f>
        <v>3830</v>
      </c>
      <c r="D6" s="959">
        <f>'Square data'!E4</f>
        <v>3735</v>
      </c>
      <c r="E6" s="959">
        <f>'Square data'!F4</f>
        <v>2183</v>
      </c>
      <c r="F6" s="960">
        <f>'Square data'!G4</f>
        <v>3482</v>
      </c>
    </row>
    <row r="7" spans="2:6" ht="15" customHeight="1" x14ac:dyDescent="0.2">
      <c r="B7" s="958" t="s">
        <v>286</v>
      </c>
      <c r="C7" s="961">
        <f>'Square data'!D5</f>
        <v>284</v>
      </c>
      <c r="D7" s="961">
        <f>'Square data'!E5</f>
        <v>277</v>
      </c>
      <c r="E7" s="961">
        <f>'Square data'!F5</f>
        <v>191</v>
      </c>
      <c r="F7" s="961">
        <f>'Square data'!G5</f>
        <v>243</v>
      </c>
    </row>
    <row r="8" spans="2:6" ht="15" customHeight="1" x14ac:dyDescent="0.2">
      <c r="B8" s="958" t="s">
        <v>298</v>
      </c>
      <c r="C8" s="961">
        <f>'Square data'!D6</f>
        <v>321</v>
      </c>
      <c r="D8" s="961">
        <f>'Square data'!E6</f>
        <v>318</v>
      </c>
      <c r="E8" s="961">
        <f>'Square data'!F6</f>
        <v>169</v>
      </c>
      <c r="F8" s="961">
        <f>'Square data'!G6</f>
        <v>304</v>
      </c>
    </row>
    <row r="9" spans="2:6" ht="15" customHeight="1" x14ac:dyDescent="0.2">
      <c r="B9" s="958" t="s">
        <v>287</v>
      </c>
      <c r="C9" s="961">
        <f>'Square data'!D7</f>
        <v>362</v>
      </c>
      <c r="D9" s="961">
        <f>'Square data'!E7</f>
        <v>352</v>
      </c>
      <c r="E9" s="961">
        <f>'Square data'!F7</f>
        <v>189</v>
      </c>
      <c r="F9" s="961">
        <f>'Square data'!G7</f>
        <v>326</v>
      </c>
    </row>
    <row r="10" spans="2:6" ht="15" customHeight="1" x14ac:dyDescent="0.2">
      <c r="B10" s="958" t="s">
        <v>288</v>
      </c>
      <c r="C10" s="961">
        <f>'Square data'!D8</f>
        <v>150</v>
      </c>
      <c r="D10" s="961">
        <f>'Square data'!E8</f>
        <v>146</v>
      </c>
      <c r="E10" s="961">
        <f>'Square data'!F8</f>
        <v>68</v>
      </c>
      <c r="F10" s="961">
        <f>'Square data'!G8</f>
        <v>141</v>
      </c>
    </row>
    <row r="11" spans="2:6" ht="15" customHeight="1" x14ac:dyDescent="0.2">
      <c r="B11" s="958" t="s">
        <v>301</v>
      </c>
      <c r="C11" s="961">
        <f>'Square data'!D9</f>
        <v>68</v>
      </c>
      <c r="D11" s="961">
        <f>'Square data'!E9</f>
        <v>67</v>
      </c>
      <c r="E11" s="961">
        <f>'Square data'!F9</f>
        <v>28</v>
      </c>
      <c r="F11" s="961">
        <f>'Square data'!G9</f>
        <v>61</v>
      </c>
    </row>
    <row r="12" spans="2:6" ht="15" customHeight="1" x14ac:dyDescent="0.2">
      <c r="B12" s="958" t="s">
        <v>302</v>
      </c>
      <c r="C12" s="961">
        <f>'Square data'!D10</f>
        <v>105</v>
      </c>
      <c r="D12" s="961">
        <f>'Square data'!E10</f>
        <v>104</v>
      </c>
      <c r="E12" s="961">
        <f>'Square data'!F10</f>
        <v>59</v>
      </c>
      <c r="F12" s="961">
        <f>'Square data'!G10</f>
        <v>102</v>
      </c>
    </row>
    <row r="13" spans="2:6" ht="15" customHeight="1" x14ac:dyDescent="0.2">
      <c r="B13" s="958" t="s">
        <v>303</v>
      </c>
      <c r="C13" s="961">
        <f>'Square data'!D11</f>
        <v>281</v>
      </c>
      <c r="D13" s="961">
        <f>'Square data'!E11</f>
        <v>273</v>
      </c>
      <c r="E13" s="961">
        <f>'Square data'!F11</f>
        <v>154</v>
      </c>
      <c r="F13" s="961">
        <f>'Square data'!G11</f>
        <v>265</v>
      </c>
    </row>
    <row r="14" spans="2:6" ht="15" customHeight="1" x14ac:dyDescent="0.2">
      <c r="B14" s="958" t="s">
        <v>304</v>
      </c>
      <c r="C14" s="961">
        <f>'Square data'!D12</f>
        <v>171</v>
      </c>
      <c r="D14" s="961">
        <f>'Square data'!E12</f>
        <v>170</v>
      </c>
      <c r="E14" s="961">
        <f>'Square data'!F12</f>
        <v>80</v>
      </c>
      <c r="F14" s="961">
        <f>'Square data'!G12</f>
        <v>164</v>
      </c>
    </row>
    <row r="15" spans="2:6" ht="15" customHeight="1" x14ac:dyDescent="0.2">
      <c r="B15" s="958" t="s">
        <v>291</v>
      </c>
      <c r="C15" s="961">
        <f>'Square data'!D13</f>
        <v>186</v>
      </c>
      <c r="D15" s="961">
        <f>'Square data'!E13</f>
        <v>160</v>
      </c>
      <c r="E15" s="961">
        <f>'Square data'!F13</f>
        <v>125</v>
      </c>
      <c r="F15" s="961">
        <f>'Square data'!G13</f>
        <v>128</v>
      </c>
    </row>
    <row r="16" spans="2:6" ht="15" customHeight="1" x14ac:dyDescent="0.2">
      <c r="B16" s="958" t="s">
        <v>292</v>
      </c>
      <c r="C16" s="961">
        <f>'Square data'!D14</f>
        <v>374</v>
      </c>
      <c r="D16" s="961">
        <f>'Square data'!E14</f>
        <v>369</v>
      </c>
      <c r="E16" s="961">
        <f>'Square data'!F14</f>
        <v>225</v>
      </c>
      <c r="F16" s="961">
        <f>'Square data'!G14</f>
        <v>352</v>
      </c>
    </row>
    <row r="17" spans="2:6" ht="15" customHeight="1" x14ac:dyDescent="0.2">
      <c r="B17" s="958" t="s">
        <v>293</v>
      </c>
      <c r="C17" s="961">
        <f>'Square data'!D15</f>
        <v>361</v>
      </c>
      <c r="D17" s="961">
        <f>'Square data'!E15</f>
        <v>354</v>
      </c>
      <c r="E17" s="961">
        <f>'Square data'!F15</f>
        <v>227</v>
      </c>
      <c r="F17" s="961">
        <f>'Square data'!G15</f>
        <v>345</v>
      </c>
    </row>
    <row r="18" spans="2:6" ht="15" customHeight="1" x14ac:dyDescent="0.2">
      <c r="B18" s="958" t="s">
        <v>294</v>
      </c>
      <c r="C18" s="961">
        <f>'Square data'!D16</f>
        <v>311</v>
      </c>
      <c r="D18" s="961">
        <f>'Square data'!E16</f>
        <v>310</v>
      </c>
      <c r="E18" s="961">
        <f>'Square data'!F16</f>
        <v>174</v>
      </c>
      <c r="F18" s="961">
        <f>'Square data'!G16</f>
        <v>295</v>
      </c>
    </row>
    <row r="19" spans="2:6" ht="15" customHeight="1" x14ac:dyDescent="0.2">
      <c r="B19" s="958" t="s">
        <v>295</v>
      </c>
      <c r="C19" s="961">
        <f>'Square data'!D17</f>
        <v>338</v>
      </c>
      <c r="D19" s="961">
        <f>'Square data'!E17</f>
        <v>322</v>
      </c>
      <c r="E19" s="961">
        <f>'Square data'!F17</f>
        <v>205</v>
      </c>
      <c r="F19" s="961">
        <f>'Square data'!G17</f>
        <v>299</v>
      </c>
    </row>
    <row r="20" spans="2:6" ht="15" customHeight="1" x14ac:dyDescent="0.2">
      <c r="B20" s="958" t="s">
        <v>296</v>
      </c>
      <c r="C20" s="961">
        <f>'Square data'!D18</f>
        <v>518</v>
      </c>
      <c r="D20" s="961">
        <f>'Square data'!E18</f>
        <v>513</v>
      </c>
      <c r="E20" s="961">
        <f>'Square data'!F18</f>
        <v>289</v>
      </c>
      <c r="F20" s="961">
        <f>'Square data'!G18</f>
        <v>457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2" tint="-0.249977111117893"/>
  </sheetPr>
  <dimension ref="B3:D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</cols>
  <sheetData>
    <row r="3" spans="2:4" ht="15" customHeight="1" x14ac:dyDescent="0.2">
      <c r="B3" t="s">
        <v>205</v>
      </c>
      <c r="C3" t="s">
        <v>441</v>
      </c>
    </row>
    <row r="5" spans="2:4" ht="15" customHeight="1" x14ac:dyDescent="0.2">
      <c r="B5" s="1073" t="s">
        <v>77</v>
      </c>
      <c r="C5" s="174" t="s">
        <v>78</v>
      </c>
      <c r="D5" s="251" t="s">
        <v>79</v>
      </c>
    </row>
    <row r="6" spans="2:4" ht="15" customHeight="1" x14ac:dyDescent="0.2">
      <c r="B6" s="1074"/>
      <c r="C6" s="1081" t="s">
        <v>862</v>
      </c>
      <c r="D6" s="1082"/>
    </row>
    <row r="7" spans="2:4" ht="15" customHeight="1" x14ac:dyDescent="0.2">
      <c r="B7" s="220" t="s">
        <v>83</v>
      </c>
      <c r="C7" s="221"/>
      <c r="D7" s="221"/>
    </row>
    <row r="8" spans="2:4" ht="15" customHeight="1" x14ac:dyDescent="0.2">
      <c r="B8" s="222" t="s">
        <v>84</v>
      </c>
      <c r="C8" s="57">
        <f>'Yield class data'!$D$8</f>
        <v>13.514506329124355</v>
      </c>
      <c r="D8" s="309">
        <f>'Yield class data'!$E$8</f>
        <v>15.000070338806143</v>
      </c>
    </row>
    <row r="9" spans="2:4" ht="15" customHeight="1" x14ac:dyDescent="0.2">
      <c r="B9" s="222" t="s">
        <v>85</v>
      </c>
      <c r="C9" s="57">
        <f>'Yield class data'!$D$9</f>
        <v>10.362197277902331</v>
      </c>
      <c r="D9" s="309">
        <f>'Yield class data'!$E$9</f>
        <v>10.510925319636881</v>
      </c>
    </row>
    <row r="10" spans="2:4" ht="15" customHeight="1" x14ac:dyDescent="0.2">
      <c r="B10" s="222" t="s">
        <v>86</v>
      </c>
      <c r="C10" s="57">
        <f>'Yield class data'!$D$10</f>
        <v>14.343541729603185</v>
      </c>
      <c r="D10" s="309">
        <f>'Yield class data'!$E$10</f>
        <v>12.527813978747838</v>
      </c>
    </row>
    <row r="11" spans="2:4" ht="15" customHeight="1" x14ac:dyDescent="0.2">
      <c r="B11" s="222" t="s">
        <v>87</v>
      </c>
      <c r="C11" s="57">
        <f>'Yield class data'!$D$11</f>
        <v>12.769317962184415</v>
      </c>
      <c r="D11" s="309">
        <f>'Yield class data'!$E$11</f>
        <v>14.402407063883537</v>
      </c>
    </row>
    <row r="12" spans="2:4" ht="15" customHeight="1" x14ac:dyDescent="0.2">
      <c r="B12" s="222" t="s">
        <v>88</v>
      </c>
      <c r="C12" s="57">
        <f>'Yield class data'!$D$12</f>
        <v>10.30154975964239</v>
      </c>
      <c r="D12" s="309">
        <f>'Yield class data'!$E$12</f>
        <v>9.9642887259787862</v>
      </c>
    </row>
    <row r="13" spans="2:4" ht="15" customHeight="1" x14ac:dyDescent="0.2">
      <c r="B13" s="222" t="s">
        <v>89</v>
      </c>
      <c r="C13" s="57">
        <f>'Yield class data'!$D$13</f>
        <v>16.73903647051133</v>
      </c>
      <c r="D13" s="309">
        <f>'Yield class data'!$E$13</f>
        <v>12.737838012819129</v>
      </c>
    </row>
    <row r="14" spans="2:4" ht="15" customHeight="1" x14ac:dyDescent="0.2">
      <c r="B14" s="222" t="s">
        <v>90</v>
      </c>
      <c r="C14" s="57">
        <f>'Yield class data'!$D$14</f>
        <v>6.7453544139905546</v>
      </c>
      <c r="D14" s="309">
        <f>'Yield class data'!$E$14</f>
        <v>8.0918227090945507</v>
      </c>
    </row>
    <row r="15" spans="2:4" ht="15" customHeight="1" x14ac:dyDescent="0.2">
      <c r="B15" s="222" t="s">
        <v>91</v>
      </c>
      <c r="C15" s="57">
        <f>'Yield class data'!$D$15</f>
        <v>14.821718971963435</v>
      </c>
      <c r="D15" s="309">
        <f>'Yield class data'!$E$15</f>
        <v>12.31541535093983</v>
      </c>
    </row>
    <row r="16" spans="2:4" ht="15" customHeight="1" x14ac:dyDescent="0.2">
      <c r="B16" s="226" t="s">
        <v>92</v>
      </c>
      <c r="C16" s="311">
        <f>'Yield class data'!$D$6</f>
        <v>13.044268325233663</v>
      </c>
      <c r="D16" s="310">
        <f>'Yield class data'!$E$6</f>
        <v>12.097313229681227</v>
      </c>
    </row>
    <row r="17" spans="2:4" ht="15" customHeight="1" x14ac:dyDescent="0.2">
      <c r="B17" s="220" t="s">
        <v>93</v>
      </c>
      <c r="C17" s="221"/>
      <c r="D17" s="221"/>
    </row>
    <row r="18" spans="2:4" ht="15" customHeight="1" x14ac:dyDescent="0.2">
      <c r="B18" s="222" t="s">
        <v>94</v>
      </c>
      <c r="C18" s="57">
        <f>'Yield class data'!$D$16</f>
        <v>4.7051078868132876</v>
      </c>
      <c r="D18" s="309">
        <f>'Yield class data'!$E$16</f>
        <v>4.9619961010167568</v>
      </c>
    </row>
    <row r="19" spans="2:4" ht="15" customHeight="1" x14ac:dyDescent="0.2">
      <c r="B19" s="222" t="s">
        <v>95</v>
      </c>
      <c r="C19" s="57">
        <f>'Yield class data'!$D$17</f>
        <v>6.6503075503131903</v>
      </c>
      <c r="D19" s="309">
        <f>'Yield class data'!$E$17</f>
        <v>6.74727397166654</v>
      </c>
    </row>
    <row r="20" spans="2:4" ht="15" customHeight="1" x14ac:dyDescent="0.2">
      <c r="B20" s="222" t="s">
        <v>96</v>
      </c>
      <c r="C20" s="57">
        <f>'Yield class data'!$D$18</f>
        <v>5.9036895990286169</v>
      </c>
      <c r="D20" s="309">
        <f>'Yield class data'!$E$18</f>
        <v>6.4445408862964282</v>
      </c>
    </row>
    <row r="21" spans="2:4" ht="15" customHeight="1" x14ac:dyDescent="0.2">
      <c r="B21" s="222" t="s">
        <v>97</v>
      </c>
      <c r="C21" s="57">
        <f>'Yield class data'!$D$19</f>
        <v>5.733817597780658</v>
      </c>
      <c r="D21" s="309">
        <f>'Yield class data'!$E$19</f>
        <v>7.1728706444794401</v>
      </c>
    </row>
    <row r="22" spans="2:4" ht="15" customHeight="1" x14ac:dyDescent="0.2">
      <c r="B22" s="222" t="s">
        <v>98</v>
      </c>
      <c r="C22" s="57">
        <f>'Yield class data'!$D$20</f>
        <v>4.4622479396808705</v>
      </c>
      <c r="D22" s="309">
        <f>'Yield class data'!$E$20</f>
        <v>5.6881561483034826</v>
      </c>
    </row>
    <row r="23" spans="2:4" ht="15" customHeight="1" x14ac:dyDescent="0.2">
      <c r="B23" s="222" t="s">
        <v>99</v>
      </c>
      <c r="C23" s="57">
        <f>'Yield class data'!$D$21</f>
        <v>6.8301493103541713</v>
      </c>
      <c r="D23" s="309">
        <f>'Yield class data'!$E$21</f>
        <v>6.8527875647092324</v>
      </c>
    </row>
    <row r="24" spans="2:4" ht="15" customHeight="1" x14ac:dyDescent="0.2">
      <c r="B24" s="222" t="s">
        <v>100</v>
      </c>
      <c r="C24" s="57">
        <f>'Yield class data'!$D$22</f>
        <v>3.8495670349358013</v>
      </c>
      <c r="D24" s="309">
        <f>'Yield class data'!$E$22</f>
        <v>2.4578632598288617</v>
      </c>
    </row>
    <row r="25" spans="2:4" ht="15" customHeight="1" x14ac:dyDescent="0.2">
      <c r="B25" s="222" t="s">
        <v>101</v>
      </c>
      <c r="C25" s="57">
        <f>'Yield class data'!$D$23</f>
        <v>4.5565217391304351</v>
      </c>
      <c r="D25" s="309">
        <f>'Yield class data'!$E$23</f>
        <v>3.1411659630863871</v>
      </c>
    </row>
    <row r="26" spans="2:4" ht="15" customHeight="1" x14ac:dyDescent="0.2">
      <c r="B26" s="222" t="s">
        <v>102</v>
      </c>
      <c r="C26" s="57">
        <f>'Yield class data'!$D$24</f>
        <v>4.6800867141529876</v>
      </c>
      <c r="D26" s="309">
        <f>'Yield class data'!$E$24</f>
        <v>5.3390297480223188</v>
      </c>
    </row>
    <row r="27" spans="2:4" ht="15" customHeight="1" x14ac:dyDescent="0.2">
      <c r="B27" s="222" t="s">
        <v>103</v>
      </c>
      <c r="C27" s="57">
        <f>'Yield class data'!$D$25</f>
        <v>3.5903540903540905</v>
      </c>
      <c r="D27" s="309">
        <f>'Yield class data'!$E$25</f>
        <v>4.934940634184164</v>
      </c>
    </row>
    <row r="28" spans="2:4" ht="15" customHeight="1" x14ac:dyDescent="0.2">
      <c r="B28" s="222" t="s">
        <v>104</v>
      </c>
      <c r="C28" s="57">
        <f>'Yield class data'!$D$26</f>
        <v>4.4233913507564884</v>
      </c>
      <c r="D28" s="309">
        <f>'Yield class data'!$E$26</f>
        <v>5.0949881916157844</v>
      </c>
    </row>
    <row r="29" spans="2:4" ht="15" customHeight="1" x14ac:dyDescent="0.2">
      <c r="B29" s="226" t="s">
        <v>105</v>
      </c>
      <c r="C29" s="311">
        <f>'Yield class data'!$D$7</f>
        <v>5.2318922165102721</v>
      </c>
      <c r="D29" s="310">
        <f>'Yield class data'!$E$7</f>
        <v>5.4403385550232199</v>
      </c>
    </row>
    <row r="30" spans="2:4" ht="15" customHeight="1" x14ac:dyDescent="0.2">
      <c r="B30" s="220" t="s">
        <v>106</v>
      </c>
      <c r="C30" s="221"/>
      <c r="D30" s="221"/>
    </row>
    <row r="31" spans="2:4" ht="15" customHeight="1" x14ac:dyDescent="0.2">
      <c r="B31" s="226" t="s">
        <v>106</v>
      </c>
      <c r="C31" s="311">
        <f>'Yield class data'!$D$5</f>
        <v>11.045034949629926</v>
      </c>
      <c r="D31" s="310">
        <f>'Yield class data'!$E$5</f>
        <v>6.7821178522797743</v>
      </c>
    </row>
  </sheetData>
  <mergeCells count="2">
    <mergeCell ref="B5:B6"/>
    <mergeCell ref="C6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C7B6D5D6-9251-4BA4-AA75-BF5446A6A992}">
            <xm:f>Sheet1!$D$5</xm:f>
            <xm:f>Sheet1!$E$5</xm:f>
            <x14:dxf>
              <numFmt numFmtId="174" formatCode="&quot;&lt; 0.1&quot;"/>
            </x14:dxf>
          </x14:cfRule>
          <xm:sqref>C8:D31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Index!$E$74</f>
        <v>Overdue timber stocks</v>
      </c>
    </row>
  </sheetData>
  <hyperlinks>
    <hyperlink ref="A1" location="Index!B56" display="Return to index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3" tint="0.59999389629810485"/>
  </sheetPr>
  <dimension ref="B3:E10"/>
  <sheetViews>
    <sheetView workbookViewId="0">
      <selection activeCell="B5" sqref="B5:E10"/>
    </sheetView>
  </sheetViews>
  <sheetFormatPr defaultRowHeight="15" customHeight="1" x14ac:dyDescent="0.2"/>
  <cols>
    <col min="2" max="4" width="15.625" customWidth="1"/>
    <col min="5" max="5" width="6.625" customWidth="1"/>
  </cols>
  <sheetData>
    <row r="3" spans="2:5" ht="15" customHeight="1" x14ac:dyDescent="0.2">
      <c r="B3" t="s">
        <v>207</v>
      </c>
      <c r="C3" t="s">
        <v>442</v>
      </c>
    </row>
    <row r="5" spans="2:5" ht="15" customHeight="1" x14ac:dyDescent="0.2">
      <c r="B5" s="1079"/>
      <c r="C5" s="174" t="s">
        <v>78</v>
      </c>
      <c r="D5" s="1075" t="s">
        <v>79</v>
      </c>
      <c r="E5" s="1084"/>
    </row>
    <row r="6" spans="2:5" ht="30" customHeight="1" x14ac:dyDescent="0.2">
      <c r="B6" s="1083"/>
      <c r="C6" s="173" t="s">
        <v>326</v>
      </c>
      <c r="D6" s="173" t="s">
        <v>326</v>
      </c>
      <c r="E6" s="175" t="s">
        <v>185</v>
      </c>
    </row>
    <row r="7" spans="2:5" ht="15" customHeight="1" x14ac:dyDescent="0.2">
      <c r="B7" s="186" t="str">
        <f>Index!$B$4</f>
        <v>England</v>
      </c>
      <c r="C7" s="187"/>
      <c r="D7" s="187"/>
      <c r="E7" s="188"/>
    </row>
    <row r="8" spans="2:5" ht="15" customHeight="1" x14ac:dyDescent="0.2">
      <c r="B8" s="176" t="s">
        <v>92</v>
      </c>
      <c r="C8" s="879">
        <f>'Section 8 data'!$D$6</f>
        <v>908.27300000000002</v>
      </c>
      <c r="D8" s="879">
        <f>'Section 8 data'!$E$6</f>
        <v>19493.425182449955</v>
      </c>
      <c r="E8" s="910">
        <f>'Section 8 data'!$F$6</f>
        <v>6.2536938661027861</v>
      </c>
    </row>
    <row r="9" spans="2:5" ht="15" customHeight="1" x14ac:dyDescent="0.2">
      <c r="B9" s="176" t="s">
        <v>105</v>
      </c>
      <c r="C9" s="879">
        <f>'Section 8 data'!$D$7</f>
        <v>178.58099999999999</v>
      </c>
      <c r="D9" s="879">
        <f>'Section 8 data'!$E$7</f>
        <v>95384.012655135346</v>
      </c>
      <c r="E9" s="910">
        <f>'Section 8 data'!$F$7</f>
        <v>2.6512098692388602</v>
      </c>
    </row>
    <row r="10" spans="2:5" ht="15" customHeight="1" x14ac:dyDescent="0.2">
      <c r="B10" s="178" t="s">
        <v>106</v>
      </c>
      <c r="C10" s="864">
        <f>'Section 8 data'!$D$5</f>
        <v>1086.856</v>
      </c>
      <c r="D10" s="864">
        <f>'Section 8 data'!$E$5</f>
        <v>114759.10264065789</v>
      </c>
      <c r="E10" s="911">
        <f>'Section 8 data'!$F$5</f>
        <v>2.4594095309913326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205963B-5A60-4C15-8325-1425674D80E5}">
            <xm:f>IF($E8&gt;Sheet1!$F$4,1,)</xm:f>
            <x14:dxf>
              <font>
                <color rgb="FF808080"/>
              </font>
            </x14:dxf>
          </x14:cfRule>
          <xm:sqref>D8:E10</xm:sqref>
        </x14:conditionalFormatting>
        <x14:conditionalFormatting xmlns:xm="http://schemas.microsoft.com/office/excel/2006/main">
          <x14:cfRule type="cellIs" priority="1" operator="between" id="{67A55AF1-711C-4AB5-8264-445C7DF522B7}">
            <xm:f>Sheet1!$D$4</xm:f>
            <xm:f>Sheet1!$E$4</xm:f>
            <x14:dxf>
              <numFmt numFmtId="173" formatCode="&quot;&lt; 1&quot;"/>
            </x14:dxf>
          </x14:cfRule>
          <xm:sqref>C8:D10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3:E10"/>
  <sheetViews>
    <sheetView workbookViewId="0"/>
  </sheetViews>
  <sheetFormatPr defaultRowHeight="15" customHeight="1" x14ac:dyDescent="0.2"/>
  <cols>
    <col min="2" max="4" width="15.625" customWidth="1"/>
    <col min="5" max="5" width="6.625" customWidth="1"/>
  </cols>
  <sheetData>
    <row r="3" spans="2:5" ht="15" customHeight="1" x14ac:dyDescent="0.2">
      <c r="B3" t="s">
        <v>209</v>
      </c>
      <c r="C3" t="s">
        <v>443</v>
      </c>
    </row>
    <row r="5" spans="2:5" ht="15" customHeight="1" x14ac:dyDescent="0.2">
      <c r="B5" s="1079"/>
      <c r="C5" s="323" t="s">
        <v>78</v>
      </c>
      <c r="D5" s="1075" t="s">
        <v>79</v>
      </c>
      <c r="E5" s="1084"/>
    </row>
    <row r="6" spans="2:5" ht="30" customHeight="1" x14ac:dyDescent="0.2">
      <c r="B6" s="1083"/>
      <c r="C6" s="179" t="s">
        <v>81</v>
      </c>
      <c r="D6" s="180" t="s">
        <v>81</v>
      </c>
      <c r="E6" s="181" t="s">
        <v>185</v>
      </c>
    </row>
    <row r="7" spans="2:5" ht="15" customHeight="1" x14ac:dyDescent="0.2">
      <c r="B7" s="186" t="str">
        <f>Index!$B$4</f>
        <v>England</v>
      </c>
      <c r="C7" s="189"/>
      <c r="D7" s="189"/>
      <c r="E7" s="190"/>
    </row>
    <row r="8" spans="2:5" ht="15" customHeight="1" x14ac:dyDescent="0.2">
      <c r="B8" s="176" t="s">
        <v>92</v>
      </c>
      <c r="C8" s="182">
        <f>'Section 8 data'!$L$6</f>
        <v>3.077</v>
      </c>
      <c r="D8" s="183">
        <f>'Section 8 data'!$M$6</f>
        <v>35.184022173160407</v>
      </c>
      <c r="E8" s="177">
        <f>'Section 8 data'!$N$6</f>
        <v>5.2109651544763897</v>
      </c>
    </row>
    <row r="9" spans="2:5" ht="15" customHeight="1" x14ac:dyDescent="0.2">
      <c r="B9" s="176" t="s">
        <v>105</v>
      </c>
      <c r="C9" s="182">
        <f>'Section 8 data'!$L$7</f>
        <v>1.157</v>
      </c>
      <c r="D9" s="183">
        <f>'Section 8 data'!$M$7</f>
        <v>238.95121310174778</v>
      </c>
      <c r="E9" s="177">
        <f>'Section 8 data'!$N$7</f>
        <v>1.9668291972654841</v>
      </c>
    </row>
    <row r="10" spans="2:5" ht="15" customHeight="1" x14ac:dyDescent="0.2">
      <c r="B10" s="178" t="s">
        <v>106</v>
      </c>
      <c r="C10" s="184">
        <f>'Section 8 data'!$L$5</f>
        <v>4.234</v>
      </c>
      <c r="D10" s="185">
        <f>'Section 8 data'!$M$5</f>
        <v>273.7048505593342</v>
      </c>
      <c r="E10" s="191">
        <f>'Section 8 data'!$N$5</f>
        <v>1.8212735686694925</v>
      </c>
    </row>
  </sheetData>
  <mergeCells count="2">
    <mergeCell ref="B5:B6"/>
    <mergeCell ref="D5:E5"/>
  </mergeCells>
  <conditionalFormatting sqref="D8:E10">
    <cfRule type="expression" dxfId="451" priority="2">
      <formula>"908 19,493 6 179 95,384 3 1,087 114,759 2"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between" id="{DED026C0-36E9-4C71-906B-1D9BF0FA546F}">
            <xm:f>Sheet1!$D$4</xm:f>
            <xm:f>Sheet1!$E$4</xm:f>
            <x14:dxf>
              <numFmt numFmtId="173" formatCode="&quot;&lt; 1&quot;"/>
            </x14:dxf>
          </x14:cfRule>
          <xm:sqref>C8:E10</xm:sqref>
        </x14:conditionalFormatting>
        <x14:conditionalFormatting xmlns:xm="http://schemas.microsoft.com/office/excel/2006/main">
          <x14:cfRule type="cellIs" priority="1" operator="between" id="{36A74F2A-8177-4F60-9CC4-A8D2F1E05488}">
            <xm:f>Sheet1!$D$5</xm:f>
            <xm:f>Sheet1!$E$5</xm:f>
            <x14:dxf>
              <numFmt numFmtId="174" formatCode="&quot;&lt; 0.1&quot;"/>
            </x14:dxf>
          </x14:cfRule>
          <xm:sqref>C8:D10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211</v>
      </c>
      <c r="C3" t="s">
        <v>855</v>
      </c>
    </row>
    <row r="5" spans="2:6" ht="15" customHeight="1" x14ac:dyDescent="0.2">
      <c r="B5" s="1033" t="s">
        <v>376</v>
      </c>
      <c r="C5" s="1058" t="s">
        <v>92</v>
      </c>
      <c r="D5" s="1058"/>
      <c r="E5" s="1058"/>
      <c r="F5" s="1032"/>
    </row>
    <row r="6" spans="2:6" ht="15" customHeight="1" x14ac:dyDescent="0.2">
      <c r="B6" s="1034"/>
      <c r="C6" s="820" t="s">
        <v>78</v>
      </c>
      <c r="D6" s="1059" t="s">
        <v>79</v>
      </c>
      <c r="E6" s="1059"/>
      <c r="F6" s="821" t="s">
        <v>80</v>
      </c>
    </row>
    <row r="7" spans="2:6" ht="30" customHeight="1" x14ac:dyDescent="0.2">
      <c r="B7" s="1034"/>
      <c r="C7" s="1060" t="s">
        <v>326</v>
      </c>
      <c r="D7" s="1034"/>
      <c r="E7" s="706" t="s">
        <v>82</v>
      </c>
      <c r="F7" s="821" t="s">
        <v>326</v>
      </c>
    </row>
    <row r="8" spans="2:6" ht="15" customHeight="1" x14ac:dyDescent="0.2">
      <c r="B8" s="707" t="str">
        <f>Index!$B$4</f>
        <v>England</v>
      </c>
      <c r="C8" s="847">
        <f>'Section 8 data country'!$C$46</f>
        <v>908.27300000000002</v>
      </c>
      <c r="D8" s="208">
        <f>'Section 8 data country'!$D$46</f>
        <v>19493.425182449955</v>
      </c>
      <c r="E8" s="209">
        <f>'Section 8 data country'!$E$46</f>
        <v>6.2536938661027861</v>
      </c>
      <c r="F8" s="210">
        <f>SUM(C8,D8)</f>
        <v>20401.698182449956</v>
      </c>
    </row>
    <row r="9" spans="2:6" ht="15" customHeight="1" x14ac:dyDescent="0.2">
      <c r="B9" s="710" t="s">
        <v>286</v>
      </c>
      <c r="C9" s="848">
        <f>'Section 8 data country'!$C$47</f>
        <v>140.07499999999999</v>
      </c>
      <c r="D9" s="849">
        <f>'Section 8 data country'!$D$47</f>
        <v>1943.5844448438202</v>
      </c>
      <c r="E9" s="214">
        <f>'Section 8 data country'!$E$47</f>
        <v>17.141759729805901</v>
      </c>
      <c r="F9" s="852">
        <f t="shared" ref="F9:F22" si="0">SUM(C9,D9)</f>
        <v>2083.65944484382</v>
      </c>
    </row>
    <row r="10" spans="2:6" ht="15" customHeight="1" x14ac:dyDescent="0.2">
      <c r="B10" s="710" t="s">
        <v>298</v>
      </c>
      <c r="C10" s="848">
        <f>'Section 8 data country'!$C$48</f>
        <v>7.5179999999999998</v>
      </c>
      <c r="D10" s="849">
        <f>'Section 8 data country'!$D$48</f>
        <v>2283.4638052418504</v>
      </c>
      <c r="E10" s="214">
        <f>'Section 8 data country'!$E$48</f>
        <v>14.159882092344199</v>
      </c>
      <c r="F10" s="852">
        <f t="shared" si="0"/>
        <v>2290.9818052418505</v>
      </c>
    </row>
    <row r="11" spans="2:6" ht="15" customHeight="1" x14ac:dyDescent="0.2">
      <c r="B11" s="710" t="s">
        <v>287</v>
      </c>
      <c r="C11" s="848">
        <f>'Section 8 data country'!$C$49</f>
        <v>32.81</v>
      </c>
      <c r="D11" s="849">
        <f>'Section 8 data country'!$D$49</f>
        <v>703.86939129861003</v>
      </c>
      <c r="E11" s="214">
        <f>'Section 8 data country'!$E$49</f>
        <v>24.378232496293901</v>
      </c>
      <c r="F11" s="852">
        <f t="shared" si="0"/>
        <v>736.67939129860997</v>
      </c>
    </row>
    <row r="12" spans="2:6" ht="15" customHeight="1" x14ac:dyDescent="0.2">
      <c r="B12" s="710" t="s">
        <v>288</v>
      </c>
      <c r="C12" s="848">
        <f>'Section 8 data country'!$C$50</f>
        <v>34.185000000000002</v>
      </c>
      <c r="D12" s="849">
        <f>'Section 8 data country'!$D$50</f>
        <v>746.00912357929394</v>
      </c>
      <c r="E12" s="214">
        <f>'Section 8 data country'!$E$50</f>
        <v>34.261397462141701</v>
      </c>
      <c r="F12" s="852">
        <f t="shared" si="0"/>
        <v>780.194123579294</v>
      </c>
    </row>
    <row r="13" spans="2:6" ht="15" customHeight="1" x14ac:dyDescent="0.2">
      <c r="B13" s="710" t="s">
        <v>301</v>
      </c>
      <c r="C13" s="848">
        <f>'Section 8 data country'!$C$51</f>
        <v>3.7480000000000002</v>
      </c>
      <c r="D13" s="849">
        <f>'Section 8 data country'!$D$51</f>
        <v>181.85684500327</v>
      </c>
      <c r="E13" s="214">
        <f>'Section 8 data country'!$E$51</f>
        <v>51.6342245339847</v>
      </c>
      <c r="F13" s="852">
        <f t="shared" si="0"/>
        <v>185.60484500326999</v>
      </c>
    </row>
    <row r="14" spans="2:6" ht="15" customHeight="1" x14ac:dyDescent="0.2">
      <c r="B14" s="710" t="s">
        <v>302</v>
      </c>
      <c r="C14" s="848">
        <f>'Section 8 data country'!$C$52</f>
        <v>1.925</v>
      </c>
      <c r="D14" s="849">
        <f>'Section 8 data country'!$D$52</f>
        <v>205.048975213451</v>
      </c>
      <c r="E14" s="214">
        <f>'Section 8 data country'!$E$52</f>
        <v>43.709813602072799</v>
      </c>
      <c r="F14" s="852">
        <f t="shared" si="0"/>
        <v>206.97397521345101</v>
      </c>
    </row>
    <row r="15" spans="2:6" ht="15" customHeight="1" x14ac:dyDescent="0.2">
      <c r="B15" s="710" t="s">
        <v>303</v>
      </c>
      <c r="C15" s="848">
        <f>'Section 8 data country'!$C$53</f>
        <v>39.985999999999997</v>
      </c>
      <c r="D15" s="849">
        <f>'Section 8 data country'!$D$53</f>
        <v>704.41826501128992</v>
      </c>
      <c r="E15" s="214">
        <f>'Section 8 data country'!$E$53</f>
        <v>33.167328110092498</v>
      </c>
      <c r="F15" s="852">
        <f t="shared" si="0"/>
        <v>744.40426501128991</v>
      </c>
    </row>
    <row r="16" spans="2:6" ht="15" customHeight="1" x14ac:dyDescent="0.2">
      <c r="B16" s="710" t="s">
        <v>304</v>
      </c>
      <c r="C16" s="848">
        <f>'Section 8 data country'!$C$54</f>
        <v>58.552999999999997</v>
      </c>
      <c r="D16" s="849">
        <f>'Section 8 data country'!$D$54</f>
        <v>193.44955397452802</v>
      </c>
      <c r="E16" s="214">
        <f>'Section 8 data country'!$E$54</f>
        <v>30.485722325603799</v>
      </c>
      <c r="F16" s="852">
        <f t="shared" si="0"/>
        <v>252.00255397452801</v>
      </c>
    </row>
    <row r="17" spans="2:6" ht="15" customHeight="1" x14ac:dyDescent="0.2">
      <c r="B17" s="710" t="s">
        <v>291</v>
      </c>
      <c r="C17" s="848">
        <f>'Section 8 data country'!$C$55</f>
        <v>228.721</v>
      </c>
      <c r="D17" s="849">
        <f>'Section 8 data country'!$D$55</f>
        <v>1589.25594897781</v>
      </c>
      <c r="E17" s="214">
        <f>'Section 8 data country'!$E$55</f>
        <v>27.036592215103699</v>
      </c>
      <c r="F17" s="852">
        <f t="shared" si="0"/>
        <v>1817.97694897781</v>
      </c>
    </row>
    <row r="18" spans="2:6" ht="15" customHeight="1" x14ac:dyDescent="0.2">
      <c r="B18" s="710" t="s">
        <v>292</v>
      </c>
      <c r="C18" s="848">
        <f>'Section 8 data country'!$C$56</f>
        <v>67.268000000000001</v>
      </c>
      <c r="D18" s="849">
        <f>'Section 8 data country'!$D$56</f>
        <v>1423.6310772207801</v>
      </c>
      <c r="E18" s="214">
        <f>'Section 8 data country'!$E$56</f>
        <v>16.6564066001926</v>
      </c>
      <c r="F18" s="852">
        <f t="shared" si="0"/>
        <v>1490.8990772207801</v>
      </c>
    </row>
    <row r="19" spans="2:6" ht="15" customHeight="1" x14ac:dyDescent="0.2">
      <c r="B19" s="710" t="s">
        <v>293</v>
      </c>
      <c r="C19" s="848">
        <f>'Section 8 data country'!$C$57</f>
        <v>12.196999999999999</v>
      </c>
      <c r="D19" s="849">
        <f>'Section 8 data country'!$D$57</f>
        <v>1383.55273962412</v>
      </c>
      <c r="E19" s="214">
        <f>'Section 8 data country'!$E$57</f>
        <v>18.9371216620574</v>
      </c>
      <c r="F19" s="852">
        <f t="shared" si="0"/>
        <v>1395.7497396241199</v>
      </c>
    </row>
    <row r="20" spans="2:6" ht="15" customHeight="1" x14ac:dyDescent="0.2">
      <c r="B20" s="710" t="s">
        <v>294</v>
      </c>
      <c r="C20" s="848">
        <f>'Section 8 data country'!$C$58</f>
        <v>50.926000000000002</v>
      </c>
      <c r="D20" s="849">
        <f>'Section 8 data country'!$D$58</f>
        <v>2784.0635993022602</v>
      </c>
      <c r="E20" s="214">
        <f>'Section 8 data country'!$E$58</f>
        <v>19.028285984115101</v>
      </c>
      <c r="F20" s="852">
        <f t="shared" si="0"/>
        <v>2834.9895993022601</v>
      </c>
    </row>
    <row r="21" spans="2:6" ht="15" customHeight="1" x14ac:dyDescent="0.2">
      <c r="B21" s="710" t="s">
        <v>295</v>
      </c>
      <c r="C21" s="848">
        <f>'Section 8 data country'!$C$59</f>
        <v>122.619</v>
      </c>
      <c r="D21" s="849">
        <f>'Section 8 data country'!$D$59</f>
        <v>3690.5654266226597</v>
      </c>
      <c r="E21" s="214">
        <f>'Section 8 data country'!$E$59</f>
        <v>18.3858733506455</v>
      </c>
      <c r="F21" s="852">
        <f t="shared" si="0"/>
        <v>3813.1844266226599</v>
      </c>
    </row>
    <row r="22" spans="2:6" ht="15" customHeight="1" x14ac:dyDescent="0.2">
      <c r="B22" s="714" t="s">
        <v>296</v>
      </c>
      <c r="C22" s="850">
        <f>'Section 8 data country'!$C$60</f>
        <v>107.742</v>
      </c>
      <c r="D22" s="851">
        <f>'Section 8 data country'!$D$60</f>
        <v>1660.6559865362099</v>
      </c>
      <c r="E22" s="717">
        <f>'Section 8 data country'!$E$60</f>
        <v>13.5064793370733</v>
      </c>
      <c r="F22" s="853">
        <f t="shared" si="0"/>
        <v>1768.3979865362098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2ADB076-35C4-493D-9F03-911C8F754BD9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5" operator="between" id="{6F5E688D-1265-49AD-8B5B-D41CE3D7F7B3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234</v>
      </c>
      <c r="C3" t="s">
        <v>856</v>
      </c>
    </row>
    <row r="5" spans="2:6" ht="15" customHeight="1" x14ac:dyDescent="0.2">
      <c r="B5" s="1033" t="s">
        <v>376</v>
      </c>
      <c r="C5" s="1058" t="s">
        <v>92</v>
      </c>
      <c r="D5" s="1058"/>
      <c r="E5" s="1058"/>
      <c r="F5" s="1032"/>
    </row>
    <row r="6" spans="2:6" ht="15" customHeight="1" x14ac:dyDescent="0.2">
      <c r="B6" s="1034"/>
      <c r="C6" s="820" t="s">
        <v>78</v>
      </c>
      <c r="D6" s="1059" t="s">
        <v>79</v>
      </c>
      <c r="E6" s="1059"/>
      <c r="F6" s="821" t="s">
        <v>80</v>
      </c>
    </row>
    <row r="7" spans="2:6" ht="15" customHeight="1" x14ac:dyDescent="0.2">
      <c r="B7" s="1034"/>
      <c r="C7" s="1060" t="s">
        <v>759</v>
      </c>
      <c r="D7" s="1034"/>
      <c r="E7" s="706" t="s">
        <v>82</v>
      </c>
      <c r="F7" s="821" t="s">
        <v>759</v>
      </c>
    </row>
    <row r="8" spans="2:6" ht="15" customHeight="1" x14ac:dyDescent="0.2">
      <c r="B8" s="707" t="str">
        <f>Index!$B$4</f>
        <v>England</v>
      </c>
      <c r="C8" s="708">
        <f>'Section 8 data country'!$C$66</f>
        <v>3.077</v>
      </c>
      <c r="D8" s="268">
        <f>'Section 8 data country'!$D$66</f>
        <v>35.184022173160407</v>
      </c>
      <c r="E8" s="209">
        <f>'Section 8 data country'!$E$66</f>
        <v>5.2109651544763897</v>
      </c>
      <c r="F8" s="269">
        <f>SUM(C8,D8)</f>
        <v>38.261022173160406</v>
      </c>
    </row>
    <row r="9" spans="2:6" ht="15" customHeight="1" x14ac:dyDescent="0.2">
      <c r="B9" s="710" t="s">
        <v>286</v>
      </c>
      <c r="C9" s="711">
        <f>'Section 8 data country'!$C$67</f>
        <v>0.37</v>
      </c>
      <c r="D9" s="712">
        <f>'Section 8 data country'!$D$67</f>
        <v>4.0199774017827998</v>
      </c>
      <c r="E9" s="214">
        <f>'Section 8 data country'!$E$67</f>
        <v>15.439650218731099</v>
      </c>
      <c r="F9" s="713">
        <f t="shared" ref="F9:F22" si="0">SUM(C9,D9)</f>
        <v>4.3899774017827999</v>
      </c>
    </row>
    <row r="10" spans="2:6" ht="15" customHeight="1" x14ac:dyDescent="0.2">
      <c r="B10" s="710" t="s">
        <v>298</v>
      </c>
      <c r="C10" s="711">
        <f>'Section 8 data country'!$C$68</f>
        <v>2.5000000000000001E-2</v>
      </c>
      <c r="D10" s="712">
        <f>'Section 8 data country'!$D$68</f>
        <v>4.5536266870494098</v>
      </c>
      <c r="E10" s="214">
        <f>'Section 8 data country'!$E$68</f>
        <v>14.2310137077791</v>
      </c>
      <c r="F10" s="713">
        <f t="shared" si="0"/>
        <v>4.5786266870494101</v>
      </c>
    </row>
    <row r="11" spans="2:6" ht="15" customHeight="1" x14ac:dyDescent="0.2">
      <c r="B11" s="710" t="s">
        <v>287</v>
      </c>
      <c r="C11" s="711">
        <f>'Section 8 data country'!$C$69</f>
        <v>0.32200000000000001</v>
      </c>
      <c r="D11" s="712">
        <f>'Section 8 data country'!$D$69</f>
        <v>2.1324093549681402</v>
      </c>
      <c r="E11" s="214">
        <f>'Section 8 data country'!$E$69</f>
        <v>24.039717771828901</v>
      </c>
      <c r="F11" s="713">
        <f t="shared" si="0"/>
        <v>2.4544093549681403</v>
      </c>
    </row>
    <row r="12" spans="2:6" ht="15" customHeight="1" x14ac:dyDescent="0.2">
      <c r="B12" s="710" t="s">
        <v>288</v>
      </c>
      <c r="C12" s="711">
        <f>'Section 8 data country'!$C$70</f>
        <v>0.11799999999999999</v>
      </c>
      <c r="D12" s="712">
        <f>'Section 8 data country'!$D$70</f>
        <v>1.5525882923050498</v>
      </c>
      <c r="E12" s="214">
        <f>'Section 8 data country'!$E$70</f>
        <v>30.7921304309661</v>
      </c>
      <c r="F12" s="713">
        <f t="shared" si="0"/>
        <v>1.6705882923050499</v>
      </c>
    </row>
    <row r="13" spans="2:6" ht="15" customHeight="1" x14ac:dyDescent="0.2">
      <c r="B13" s="710" t="s">
        <v>301</v>
      </c>
      <c r="C13" s="711">
        <f>'Section 8 data country'!$C$71</f>
        <v>1.4E-2</v>
      </c>
      <c r="D13" s="712">
        <f>'Section 8 data country'!$D$71</f>
        <v>0.38730181868040398</v>
      </c>
      <c r="E13" s="214">
        <f>'Section 8 data country'!$E$71</f>
        <v>49.167181599740701</v>
      </c>
      <c r="F13" s="713">
        <f t="shared" si="0"/>
        <v>0.40130181868040399</v>
      </c>
    </row>
    <row r="14" spans="2:6" ht="15" customHeight="1" x14ac:dyDescent="0.2">
      <c r="B14" s="710" t="s">
        <v>302</v>
      </c>
      <c r="C14" s="711">
        <f>'Section 8 data country'!$C$72</f>
        <v>7.0000000000000001E-3</v>
      </c>
      <c r="D14" s="712">
        <f>'Section 8 data country'!$D$72</f>
        <v>0.47443897419169601</v>
      </c>
      <c r="E14" s="214">
        <f>'Section 8 data country'!$E$72</f>
        <v>39.0510296402921</v>
      </c>
      <c r="F14" s="713">
        <f t="shared" si="0"/>
        <v>0.48143897419169601</v>
      </c>
    </row>
    <row r="15" spans="2:6" ht="15" customHeight="1" x14ac:dyDescent="0.2">
      <c r="B15" s="710" t="s">
        <v>303</v>
      </c>
      <c r="C15" s="711">
        <f>'Section 8 data country'!$C$73</f>
        <v>0.105</v>
      </c>
      <c r="D15" s="712">
        <f>'Section 8 data country'!$D$73</f>
        <v>1.1482537882863</v>
      </c>
      <c r="E15" s="214">
        <f>'Section 8 data country'!$E$73</f>
        <v>27.752555564254799</v>
      </c>
      <c r="F15" s="713">
        <f t="shared" si="0"/>
        <v>1.2532537882863</v>
      </c>
    </row>
    <row r="16" spans="2:6" ht="15" customHeight="1" x14ac:dyDescent="0.2">
      <c r="B16" s="710" t="s">
        <v>304</v>
      </c>
      <c r="C16" s="711">
        <f>'Section 8 data country'!$C$74</f>
        <v>0.18099999999999999</v>
      </c>
      <c r="D16" s="712">
        <f>'Section 8 data country'!$D$74</f>
        <v>0.70912418127838206</v>
      </c>
      <c r="E16" s="214">
        <f>'Section 8 data country'!$E$74</f>
        <v>30.0450319050316</v>
      </c>
      <c r="F16" s="713">
        <f t="shared" si="0"/>
        <v>0.890124181278382</v>
      </c>
    </row>
    <row r="17" spans="2:6" ht="15" customHeight="1" x14ac:dyDescent="0.2">
      <c r="B17" s="710" t="s">
        <v>291</v>
      </c>
      <c r="C17" s="711">
        <f>'Section 8 data country'!$C$75</f>
        <v>0.64800000000000002</v>
      </c>
      <c r="D17" s="712">
        <f>'Section 8 data country'!$D$75</f>
        <v>2.4510115354505801</v>
      </c>
      <c r="E17" s="214">
        <f>'Section 8 data country'!$E$75</f>
        <v>23.6026575409639</v>
      </c>
      <c r="F17" s="713">
        <f t="shared" si="0"/>
        <v>3.0990115354505803</v>
      </c>
    </row>
    <row r="18" spans="2:6" ht="15" customHeight="1" x14ac:dyDescent="0.2">
      <c r="B18" s="710" t="s">
        <v>292</v>
      </c>
      <c r="C18" s="711">
        <f>'Section 8 data country'!$C$76</f>
        <v>0.20699999999999999</v>
      </c>
      <c r="D18" s="712">
        <f>'Section 8 data country'!$D$76</f>
        <v>2.4269698431255899</v>
      </c>
      <c r="E18" s="214">
        <f>'Section 8 data country'!$E$76</f>
        <v>16.1111660321668</v>
      </c>
      <c r="F18" s="713">
        <f t="shared" si="0"/>
        <v>2.6339698431255898</v>
      </c>
    </row>
    <row r="19" spans="2:6" ht="15" customHeight="1" x14ac:dyDescent="0.2">
      <c r="B19" s="710" t="s">
        <v>293</v>
      </c>
      <c r="C19" s="711">
        <f>'Section 8 data country'!$C$77</f>
        <v>3.5999999999999997E-2</v>
      </c>
      <c r="D19" s="712">
        <f>'Section 8 data country'!$D$77</f>
        <v>2.3858370907404503</v>
      </c>
      <c r="E19" s="214">
        <f>'Section 8 data country'!$E$77</f>
        <v>15.893693349364</v>
      </c>
      <c r="F19" s="713">
        <f t="shared" si="0"/>
        <v>2.4218370907404503</v>
      </c>
    </row>
    <row r="20" spans="2:6" ht="15" customHeight="1" x14ac:dyDescent="0.2">
      <c r="B20" s="710" t="s">
        <v>294</v>
      </c>
      <c r="C20" s="711">
        <f>'Section 8 data country'!$C$78</f>
        <v>0.187</v>
      </c>
      <c r="D20" s="712">
        <f>'Section 8 data country'!$D$78</f>
        <v>4.2060825747231805</v>
      </c>
      <c r="E20" s="214">
        <f>'Section 8 data country'!$E$78</f>
        <v>15.5977570549863</v>
      </c>
      <c r="F20" s="713">
        <f t="shared" si="0"/>
        <v>4.3930825747231808</v>
      </c>
    </row>
    <row r="21" spans="2:6" ht="15" customHeight="1" x14ac:dyDescent="0.2">
      <c r="B21" s="710" t="s">
        <v>295</v>
      </c>
      <c r="C21" s="711">
        <f>'Section 8 data country'!$C$79</f>
        <v>0.42499999999999999</v>
      </c>
      <c r="D21" s="712">
        <f>'Section 8 data country'!$D$79</f>
        <v>5.3031938883710596</v>
      </c>
      <c r="E21" s="214">
        <f>'Section 8 data country'!$E$79</f>
        <v>14.6051349338743</v>
      </c>
      <c r="F21" s="713">
        <f t="shared" si="0"/>
        <v>5.7281938883710595</v>
      </c>
    </row>
    <row r="22" spans="2:6" ht="15" customHeight="1" x14ac:dyDescent="0.2">
      <c r="B22" s="714" t="s">
        <v>296</v>
      </c>
      <c r="C22" s="715">
        <f>'Section 8 data country'!$C$80</f>
        <v>0.432</v>
      </c>
      <c r="D22" s="716">
        <f>'Section 8 data country'!$D$80</f>
        <v>3.43320674220737</v>
      </c>
      <c r="E22" s="717">
        <f>'Section 8 data country'!$E$80</f>
        <v>12.5533411095383</v>
      </c>
      <c r="F22" s="718">
        <f t="shared" si="0"/>
        <v>3.8652067422073699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E31A8A72-32C0-450C-A9F4-6F0052C175E6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3" operator="between" id="{0EA87AA6-70D8-4E67-B6CA-929E9CD29C70}">
            <xm:f>Sheet1!$D$5</xm:f>
            <xm:f>Sheet1!$E$5</xm:f>
            <x14:dxf>
              <numFmt numFmtId="174" formatCode="&quot;&lt; 0.1&quot;"/>
            </x14:dxf>
          </x14:cfRule>
          <xm:sqref>C8:D22 F8:F22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>
      <selection activeCell="F22" sqref="B5:F22"/>
    </sheetView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236</v>
      </c>
      <c r="C3" t="s">
        <v>857</v>
      </c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62" t="s">
        <v>78</v>
      </c>
      <c r="D6" s="1059" t="s">
        <v>79</v>
      </c>
      <c r="E6" s="1059"/>
      <c r="F6" s="963" t="s">
        <v>80</v>
      </c>
    </row>
    <row r="7" spans="2:6" ht="30" customHeight="1" x14ac:dyDescent="0.2">
      <c r="B7" s="1034"/>
      <c r="C7" s="1060" t="s">
        <v>326</v>
      </c>
      <c r="D7" s="1034"/>
      <c r="E7" s="706" t="s">
        <v>82</v>
      </c>
      <c r="F7" s="963" t="s">
        <v>326</v>
      </c>
    </row>
    <row r="8" spans="2:6" ht="15" customHeight="1" x14ac:dyDescent="0.2">
      <c r="B8" s="707" t="str">
        <f>Index!$B$4</f>
        <v>England</v>
      </c>
      <c r="C8" s="847">
        <f>'Section 8 data country'!$C$86</f>
        <v>178.58099999999999</v>
      </c>
      <c r="D8" s="208">
        <f>'Section 8 data country'!$D$86</f>
        <v>95384.012655135346</v>
      </c>
      <c r="E8" s="209">
        <f>'Section 8 data country'!$E$86</f>
        <v>2.6512098692388602</v>
      </c>
      <c r="F8" s="210">
        <f>SUM(C8,D8)</f>
        <v>95562.593655135352</v>
      </c>
    </row>
    <row r="9" spans="2:6" ht="15" customHeight="1" x14ac:dyDescent="0.2">
      <c r="B9" s="710" t="s">
        <v>286</v>
      </c>
      <c r="C9" s="848">
        <f>'Section 8 data country'!$C$87</f>
        <v>1.31</v>
      </c>
      <c r="D9" s="849">
        <f>'Section 8 data country'!$D$87</f>
        <v>3940.8616735759897</v>
      </c>
      <c r="E9" s="214">
        <f>'Section 8 data country'!$E$87</f>
        <v>9.9876444169698697</v>
      </c>
      <c r="F9" s="852">
        <f t="shared" ref="F9:F22" si="0">SUM(C9,D9)</f>
        <v>3942.1716735759896</v>
      </c>
    </row>
    <row r="10" spans="2:6" ht="15" customHeight="1" x14ac:dyDescent="0.2">
      <c r="B10" s="710" t="s">
        <v>298</v>
      </c>
      <c r="C10" s="848">
        <f>'Section 8 data country'!$C$88</f>
        <v>0.2</v>
      </c>
      <c r="D10" s="849">
        <f>'Section 8 data country'!$D$88</f>
        <v>9427.0598001902708</v>
      </c>
      <c r="E10" s="214">
        <f>'Section 8 data country'!$E$88</f>
        <v>8.6168585591502307</v>
      </c>
      <c r="F10" s="852">
        <f t="shared" si="0"/>
        <v>9427.2598001902716</v>
      </c>
    </row>
    <row r="11" spans="2:6" ht="15" customHeight="1" x14ac:dyDescent="0.2">
      <c r="B11" s="710" t="s">
        <v>287</v>
      </c>
      <c r="C11" s="848">
        <f>'Section 8 data country'!$C$89</f>
        <v>10.449</v>
      </c>
      <c r="D11" s="849">
        <f>'Section 8 data country'!$D$89</f>
        <v>8961.2637232419784</v>
      </c>
      <c r="E11" s="214">
        <f>'Section 8 data country'!$E$89</f>
        <v>8.82266756659115</v>
      </c>
      <c r="F11" s="852">
        <f t="shared" si="0"/>
        <v>8971.7127232419789</v>
      </c>
    </row>
    <row r="12" spans="2:6" ht="15" customHeight="1" x14ac:dyDescent="0.2">
      <c r="B12" s="710" t="s">
        <v>288</v>
      </c>
      <c r="C12" s="848">
        <f>'Section 8 data country'!$C$90</f>
        <v>4.9450000000000003</v>
      </c>
      <c r="D12" s="849">
        <f>'Section 8 data country'!$D$90</f>
        <v>3434.7703462908903</v>
      </c>
      <c r="E12" s="214">
        <f>'Section 8 data country'!$E$90</f>
        <v>15.4346230006976</v>
      </c>
      <c r="F12" s="852">
        <f t="shared" si="0"/>
        <v>3439.7153462908905</v>
      </c>
    </row>
    <row r="13" spans="2:6" ht="15" customHeight="1" x14ac:dyDescent="0.2">
      <c r="B13" s="710" t="s">
        <v>301</v>
      </c>
      <c r="C13" s="848">
        <f>'Section 8 data country'!$C$91</f>
        <v>6.5170000000000003</v>
      </c>
      <c r="D13" s="849">
        <f>'Section 8 data country'!$D$91</f>
        <v>2354.1257094860598</v>
      </c>
      <c r="E13" s="214">
        <f>'Section 8 data country'!$E$91</f>
        <v>23.251435530416099</v>
      </c>
      <c r="F13" s="852">
        <f t="shared" si="0"/>
        <v>2360.6427094860596</v>
      </c>
    </row>
    <row r="14" spans="2:6" ht="15" customHeight="1" x14ac:dyDescent="0.2">
      <c r="B14" s="710" t="s">
        <v>302</v>
      </c>
      <c r="C14" s="848">
        <f>'Section 8 data country'!$C$92</f>
        <v>0.255</v>
      </c>
      <c r="D14" s="849">
        <f>'Section 8 data country'!$D$92</f>
        <v>2728.6457014489001</v>
      </c>
      <c r="E14" s="214">
        <f>'Section 8 data country'!$E$92</f>
        <v>24.340315864426401</v>
      </c>
      <c r="F14" s="852">
        <f t="shared" si="0"/>
        <v>2728.9007014489002</v>
      </c>
    </row>
    <row r="15" spans="2:6" ht="15" customHeight="1" x14ac:dyDescent="0.2">
      <c r="B15" s="710" t="s">
        <v>303</v>
      </c>
      <c r="C15" s="848">
        <f>'Section 8 data country'!$C$93</f>
        <v>1.8009999999999999</v>
      </c>
      <c r="D15" s="849">
        <f>'Section 8 data country'!$D$93</f>
        <v>6929.1880667245096</v>
      </c>
      <c r="E15" s="214">
        <f>'Section 8 data country'!$E$93</f>
        <v>10.023710905388199</v>
      </c>
      <c r="F15" s="852">
        <f t="shared" si="0"/>
        <v>6930.9890667245099</v>
      </c>
    </row>
    <row r="16" spans="2:6" ht="15" customHeight="1" x14ac:dyDescent="0.2">
      <c r="B16" s="710" t="s">
        <v>304</v>
      </c>
      <c r="C16" s="848">
        <f>'Section 8 data country'!$C$94</f>
        <v>11.048999999999999</v>
      </c>
      <c r="D16" s="849">
        <f>'Section 8 data country'!$D$94</f>
        <v>4693.2140048256706</v>
      </c>
      <c r="E16" s="214">
        <f>'Section 8 data country'!$E$94</f>
        <v>11.180216231734599</v>
      </c>
      <c r="F16" s="852">
        <f t="shared" si="0"/>
        <v>4704.2630048256706</v>
      </c>
    </row>
    <row r="17" spans="2:6" ht="15" customHeight="1" x14ac:dyDescent="0.2">
      <c r="B17" s="710" t="s">
        <v>291</v>
      </c>
      <c r="C17" s="848">
        <f>'Section 8 data country'!$C$95</f>
        <v>8.0609999999999999</v>
      </c>
      <c r="D17" s="849">
        <f>'Section 8 data country'!$D$95</f>
        <v>2451.6505613269701</v>
      </c>
      <c r="E17" s="214">
        <f>'Section 8 data country'!$E$95</f>
        <v>13.124497999775</v>
      </c>
      <c r="F17" s="852">
        <f t="shared" si="0"/>
        <v>2459.7115613269702</v>
      </c>
    </row>
    <row r="18" spans="2:6" ht="15" customHeight="1" x14ac:dyDescent="0.2">
      <c r="B18" s="710" t="s">
        <v>292</v>
      </c>
      <c r="C18" s="848">
        <f>'Section 8 data country'!$C$96</f>
        <v>11.366</v>
      </c>
      <c r="D18" s="849">
        <f>'Section 8 data country'!$D$96</f>
        <v>11308.4977199637</v>
      </c>
      <c r="E18" s="214">
        <f>'Section 8 data country'!$E$96</f>
        <v>5.97787627947028</v>
      </c>
      <c r="F18" s="852">
        <f t="shared" si="0"/>
        <v>11319.8637199637</v>
      </c>
    </row>
    <row r="19" spans="2:6" ht="15" customHeight="1" x14ac:dyDescent="0.2">
      <c r="B19" s="710" t="s">
        <v>293</v>
      </c>
      <c r="C19" s="848">
        <f>'Section 8 data country'!$C$97</f>
        <v>0.51600000000000001</v>
      </c>
      <c r="D19" s="849">
        <f>'Section 8 data country'!$D$97</f>
        <v>8687.5026493570003</v>
      </c>
      <c r="E19" s="214">
        <f>'Section 8 data country'!$E$97</f>
        <v>6.9870682845201797</v>
      </c>
      <c r="F19" s="852">
        <f t="shared" si="0"/>
        <v>8688.018649357</v>
      </c>
    </row>
    <row r="20" spans="2:6" ht="15" customHeight="1" x14ac:dyDescent="0.2">
      <c r="B20" s="710" t="s">
        <v>294</v>
      </c>
      <c r="C20" s="848">
        <f>'Section 8 data country'!$C$98</f>
        <v>14.818</v>
      </c>
      <c r="D20" s="849">
        <f>'Section 8 data country'!$D$98</f>
        <v>10759.5971788722</v>
      </c>
      <c r="E20" s="214">
        <f>'Section 8 data country'!$E$98</f>
        <v>7.3665743858472297</v>
      </c>
      <c r="F20" s="852">
        <f t="shared" si="0"/>
        <v>10774.415178872199</v>
      </c>
    </row>
    <row r="21" spans="2:6" ht="15" customHeight="1" x14ac:dyDescent="0.2">
      <c r="B21" s="710" t="s">
        <v>295</v>
      </c>
      <c r="C21" s="848">
        <f>'Section 8 data country'!$C$99</f>
        <v>105.283</v>
      </c>
      <c r="D21" s="849">
        <f>'Section 8 data country'!$D$99</f>
        <v>13777.1631435197</v>
      </c>
      <c r="E21" s="214">
        <f>'Section 8 data country'!$E$99</f>
        <v>8.6778540106644506</v>
      </c>
      <c r="F21" s="852">
        <f t="shared" si="0"/>
        <v>13882.446143519699</v>
      </c>
    </row>
    <row r="22" spans="2:6" ht="15" customHeight="1" x14ac:dyDescent="0.2">
      <c r="B22" s="714" t="s">
        <v>296</v>
      </c>
      <c r="C22" s="850">
        <f>'Section 8 data country'!$C$100</f>
        <v>2.0110000000000001</v>
      </c>
      <c r="D22" s="851">
        <f>'Section 8 data country'!$D$100</f>
        <v>5930.4723763115098</v>
      </c>
      <c r="E22" s="717">
        <f>'Section 8 data country'!$E$100</f>
        <v>7.3312431526236104</v>
      </c>
      <c r="F22" s="853">
        <f t="shared" si="0"/>
        <v>5932.4833763115103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A14681D-9CA3-46AA-A08C-10D852F8FFCF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3" operator="between" id="{C5E2F63A-FD66-4EFE-A8E8-00B1433F9CDA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238</v>
      </c>
      <c r="C3" t="s">
        <v>858</v>
      </c>
    </row>
    <row r="5" spans="2:6" ht="15" customHeight="1" x14ac:dyDescent="0.2">
      <c r="B5" s="1033" t="s">
        <v>376</v>
      </c>
      <c r="C5" s="1058" t="s">
        <v>105</v>
      </c>
      <c r="D5" s="1058"/>
      <c r="E5" s="1058"/>
      <c r="F5" s="1032"/>
    </row>
    <row r="6" spans="2:6" ht="15" customHeight="1" x14ac:dyDescent="0.2">
      <c r="B6" s="1034"/>
      <c r="C6" s="962" t="s">
        <v>78</v>
      </c>
      <c r="D6" s="1059" t="s">
        <v>79</v>
      </c>
      <c r="E6" s="1059"/>
      <c r="F6" s="963" t="s">
        <v>80</v>
      </c>
    </row>
    <row r="7" spans="2:6" ht="15" customHeight="1" x14ac:dyDescent="0.2">
      <c r="B7" s="1034"/>
      <c r="C7" s="1060" t="s">
        <v>759</v>
      </c>
      <c r="D7" s="1034"/>
      <c r="E7" s="706" t="s">
        <v>82</v>
      </c>
      <c r="F7" s="963" t="s">
        <v>759</v>
      </c>
    </row>
    <row r="8" spans="2:6" ht="15" customHeight="1" x14ac:dyDescent="0.2">
      <c r="B8" s="707" t="str">
        <f>Index!$B$4</f>
        <v>England</v>
      </c>
      <c r="C8" s="708">
        <f>'Section 8 data country'!$C$106</f>
        <v>1.157</v>
      </c>
      <c r="D8" s="268">
        <f>'Section 8 data country'!$D$106</f>
        <v>238.95121310174778</v>
      </c>
      <c r="E8" s="209">
        <f>'Section 8 data country'!$E$106</f>
        <v>1.9668291972654841</v>
      </c>
      <c r="F8" s="269">
        <f>SUM(C8,D8)</f>
        <v>240.10821310174779</v>
      </c>
    </row>
    <row r="9" spans="2:6" ht="15" customHeight="1" x14ac:dyDescent="0.2">
      <c r="B9" s="710" t="s">
        <v>286</v>
      </c>
      <c r="C9" s="711">
        <f>'Section 8 data country'!$C$107</f>
        <v>1.7000000000000001E-2</v>
      </c>
      <c r="D9" s="712">
        <f>'Section 8 data country'!$D$107</f>
        <v>13.453741443290701</v>
      </c>
      <c r="E9" s="214">
        <f>'Section 8 data country'!$E$107</f>
        <v>7.4741805163400903</v>
      </c>
      <c r="F9" s="713">
        <f t="shared" ref="F9:F22" si="0">SUM(C9,D9)</f>
        <v>13.4707414432907</v>
      </c>
    </row>
    <row r="10" spans="2:6" ht="15" customHeight="1" x14ac:dyDescent="0.2">
      <c r="B10" s="710" t="s">
        <v>298</v>
      </c>
      <c r="C10" s="711">
        <f>'Section 8 data country'!$C$108</f>
        <v>3.0000000000000001E-3</v>
      </c>
      <c r="D10" s="712">
        <f>'Section 8 data country'!$D$108</f>
        <v>20.705833844882601</v>
      </c>
      <c r="E10" s="214">
        <f>'Section 8 data country'!$E$108</f>
        <v>6.1441062516845797</v>
      </c>
      <c r="F10" s="713">
        <f t="shared" si="0"/>
        <v>20.708833844882601</v>
      </c>
    </row>
    <row r="11" spans="2:6" ht="15" customHeight="1" x14ac:dyDescent="0.2">
      <c r="B11" s="710" t="s">
        <v>287</v>
      </c>
      <c r="C11" s="711">
        <f>'Section 8 data country'!$C$109</f>
        <v>7.9000000000000001E-2</v>
      </c>
      <c r="D11" s="712">
        <f>'Section 8 data country'!$D$109</f>
        <v>26.356493445589699</v>
      </c>
      <c r="E11" s="214">
        <f>'Section 8 data country'!$E$109</f>
        <v>6.6625712666185803</v>
      </c>
      <c r="F11" s="713">
        <f t="shared" si="0"/>
        <v>26.435493445589699</v>
      </c>
    </row>
    <row r="12" spans="2:6" ht="15" customHeight="1" x14ac:dyDescent="0.2">
      <c r="B12" s="710" t="s">
        <v>288</v>
      </c>
      <c r="C12" s="711">
        <f>'Section 8 data country'!$C$110</f>
        <v>3.9E-2</v>
      </c>
      <c r="D12" s="712">
        <f>'Section 8 data country'!$D$110</f>
        <v>9.7169234153175701</v>
      </c>
      <c r="E12" s="214">
        <f>'Section 8 data country'!$E$110</f>
        <v>10.389260553094299</v>
      </c>
      <c r="F12" s="713">
        <f t="shared" si="0"/>
        <v>9.7559234153175698</v>
      </c>
    </row>
    <row r="13" spans="2:6" ht="15" customHeight="1" x14ac:dyDescent="0.2">
      <c r="B13" s="710" t="s">
        <v>301</v>
      </c>
      <c r="C13" s="711">
        <f>'Section 8 data country'!$C$111</f>
        <v>4.2000000000000003E-2</v>
      </c>
      <c r="D13" s="712">
        <f>'Section 8 data country'!$D$111</f>
        <v>5.3310873801119092</v>
      </c>
      <c r="E13" s="214">
        <f>'Section 8 data country'!$E$111</f>
        <v>16.951851685508199</v>
      </c>
      <c r="F13" s="713">
        <f t="shared" si="0"/>
        <v>5.373087380111909</v>
      </c>
    </row>
    <row r="14" spans="2:6" ht="15" customHeight="1" x14ac:dyDescent="0.2">
      <c r="B14" s="710" t="s">
        <v>302</v>
      </c>
      <c r="C14" s="711">
        <f>'Section 8 data country'!$C$112</f>
        <v>2E-3</v>
      </c>
      <c r="D14" s="712">
        <f>'Section 8 data country'!$D$112</f>
        <v>7.0827100440668502</v>
      </c>
      <c r="E14" s="214">
        <f>'Section 8 data country'!$E$112</f>
        <v>15.145871172506901</v>
      </c>
      <c r="F14" s="713">
        <f t="shared" si="0"/>
        <v>7.08471004406685</v>
      </c>
    </row>
    <row r="15" spans="2:6" ht="15" customHeight="1" x14ac:dyDescent="0.2">
      <c r="B15" s="710" t="s">
        <v>303</v>
      </c>
      <c r="C15" s="711">
        <f>'Section 8 data country'!$C$113</f>
        <v>2.1999999999999999E-2</v>
      </c>
      <c r="D15" s="712">
        <f>'Section 8 data country'!$D$113</f>
        <v>16.1154484412783</v>
      </c>
      <c r="E15" s="214">
        <f>'Section 8 data country'!$E$113</f>
        <v>8.7703176736148905</v>
      </c>
      <c r="F15" s="713">
        <f t="shared" si="0"/>
        <v>16.137448441278298</v>
      </c>
    </row>
    <row r="16" spans="2:6" ht="15" customHeight="1" x14ac:dyDescent="0.2">
      <c r="B16" s="710" t="s">
        <v>304</v>
      </c>
      <c r="C16" s="711">
        <f>'Section 8 data country'!$C$114</f>
        <v>0.08</v>
      </c>
      <c r="D16" s="712">
        <f>'Section 8 data country'!$D$114</f>
        <v>10.836207981737399</v>
      </c>
      <c r="E16" s="214">
        <f>'Section 8 data country'!$E$114</f>
        <v>8.0498680010450094</v>
      </c>
      <c r="F16" s="713">
        <f t="shared" si="0"/>
        <v>10.916207981737399</v>
      </c>
    </row>
    <row r="17" spans="2:6" ht="15" customHeight="1" x14ac:dyDescent="0.2">
      <c r="B17" s="710" t="s">
        <v>291</v>
      </c>
      <c r="C17" s="711">
        <f>'Section 8 data country'!$C$115</f>
        <v>3.5000000000000003E-2</v>
      </c>
      <c r="D17" s="712">
        <f>'Section 8 data country'!$D$115</f>
        <v>9.4176352852702685</v>
      </c>
      <c r="E17" s="214">
        <f>'Section 8 data country'!$E$115</f>
        <v>12.4952816370836</v>
      </c>
      <c r="F17" s="713">
        <f t="shared" si="0"/>
        <v>9.4526352852702686</v>
      </c>
    </row>
    <row r="18" spans="2:6" ht="15" customHeight="1" x14ac:dyDescent="0.2">
      <c r="B18" s="710" t="s">
        <v>292</v>
      </c>
      <c r="C18" s="711">
        <f>'Section 8 data country'!$C$116</f>
        <v>0.1</v>
      </c>
      <c r="D18" s="712">
        <f>'Section 8 data country'!$D$116</f>
        <v>27.5512539044012</v>
      </c>
      <c r="E18" s="214">
        <f>'Section 8 data country'!$E$116</f>
        <v>4.3483161778698696</v>
      </c>
      <c r="F18" s="713">
        <f t="shared" si="0"/>
        <v>27.651253904401202</v>
      </c>
    </row>
    <row r="19" spans="2:6" ht="15" customHeight="1" x14ac:dyDescent="0.2">
      <c r="B19" s="710" t="s">
        <v>293</v>
      </c>
      <c r="C19" s="711">
        <f>'Section 8 data country'!$C$117</f>
        <v>1.4E-2</v>
      </c>
      <c r="D19" s="712">
        <f>'Section 8 data country'!$D$117</f>
        <v>19.928582788407901</v>
      </c>
      <c r="E19" s="214">
        <f>'Section 8 data country'!$E$117</f>
        <v>5.4800504139578896</v>
      </c>
      <c r="F19" s="713">
        <f t="shared" si="0"/>
        <v>19.942582788407901</v>
      </c>
    </row>
    <row r="20" spans="2:6" ht="15" customHeight="1" x14ac:dyDescent="0.2">
      <c r="B20" s="710" t="s">
        <v>294</v>
      </c>
      <c r="C20" s="711">
        <f>'Section 8 data country'!$C$118</f>
        <v>0.104</v>
      </c>
      <c r="D20" s="712">
        <f>'Section 8 data country'!$D$118</f>
        <v>25.589934461214899</v>
      </c>
      <c r="E20" s="214">
        <f>'Section 8 data country'!$E$118</f>
        <v>5.7396485124103904</v>
      </c>
      <c r="F20" s="713">
        <f t="shared" si="0"/>
        <v>25.693934461214898</v>
      </c>
    </row>
    <row r="21" spans="2:6" ht="15" customHeight="1" x14ac:dyDescent="0.2">
      <c r="B21" s="710" t="s">
        <v>295</v>
      </c>
      <c r="C21" s="711">
        <f>'Section 8 data country'!$C$119</f>
        <v>0.6</v>
      </c>
      <c r="D21" s="712">
        <f>'Section 8 data country'!$D$119</f>
        <v>28.3283076467333</v>
      </c>
      <c r="E21" s="214">
        <f>'Section 8 data country'!$E$119</f>
        <v>6.4231360704136904</v>
      </c>
      <c r="F21" s="713">
        <f t="shared" si="0"/>
        <v>28.928307646733302</v>
      </c>
    </row>
    <row r="22" spans="2:6" ht="15" customHeight="1" x14ac:dyDescent="0.2">
      <c r="B22" s="714" t="s">
        <v>296</v>
      </c>
      <c r="C22" s="715">
        <f>'Section 8 data country'!$C$120</f>
        <v>0.02</v>
      </c>
      <c r="D22" s="716">
        <f>'Section 8 data country'!$D$120</f>
        <v>18.537053019445199</v>
      </c>
      <c r="E22" s="717">
        <f>'Section 8 data country'!$E$120</f>
        <v>5.7815966259465101</v>
      </c>
      <c r="F22" s="718">
        <f t="shared" si="0"/>
        <v>18.557053019445199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9C81D86-C83A-41D4-8D35-D2713A62359D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2481DEA0-7443-41A2-A6A7-B12CC2131F1A}">
            <xm:f>Sheet1!$D$5</xm:f>
            <xm:f>Sheet1!$E$5</xm:f>
            <x14:dxf>
              <numFmt numFmtId="174" formatCode="&quot;&lt; 0.1&quot;"/>
            </x14:dxf>
          </x14:cfRule>
          <xm:sqref>C8:D22 F8:F22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240</v>
      </c>
      <c r="C3" t="s">
        <v>859</v>
      </c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962" t="s">
        <v>78</v>
      </c>
      <c r="D6" s="1059" t="s">
        <v>79</v>
      </c>
      <c r="E6" s="1059"/>
      <c r="F6" s="963" t="s">
        <v>80</v>
      </c>
    </row>
    <row r="7" spans="2:6" ht="30" customHeight="1" x14ac:dyDescent="0.2">
      <c r="B7" s="1034"/>
      <c r="C7" s="1060" t="s">
        <v>326</v>
      </c>
      <c r="D7" s="1034"/>
      <c r="E7" s="706" t="s">
        <v>82</v>
      </c>
      <c r="F7" s="963" t="s">
        <v>326</v>
      </c>
    </row>
    <row r="8" spans="2:6" ht="15" customHeight="1" x14ac:dyDescent="0.2">
      <c r="B8" s="707" t="str">
        <f>Index!$B$4</f>
        <v>England</v>
      </c>
      <c r="C8" s="847">
        <f>'Section 8 data country'!$C$6</f>
        <v>1086.856</v>
      </c>
      <c r="D8" s="208">
        <f>'Section 8 data country'!$D$6</f>
        <v>114759.10264065789</v>
      </c>
      <c r="E8" s="209">
        <f>'Section 8 data country'!$E$6</f>
        <v>2.4594095309913326</v>
      </c>
      <c r="F8" s="210">
        <f>SUM(C8,D8)</f>
        <v>115845.95864065789</v>
      </c>
    </row>
    <row r="9" spans="2:6" ht="15" customHeight="1" x14ac:dyDescent="0.2">
      <c r="B9" s="710" t="s">
        <v>286</v>
      </c>
      <c r="C9" s="848">
        <f>'Section 8 data country'!$C$7</f>
        <v>141.38499999999999</v>
      </c>
      <c r="D9" s="849">
        <f>'Section 8 data country'!$D$7</f>
        <v>5867.5015619958103</v>
      </c>
      <c r="E9" s="214">
        <f>'Section 8 data country'!$E$7</f>
        <v>8.8402201246109708</v>
      </c>
      <c r="F9" s="852">
        <f t="shared" ref="F9:F22" si="0">SUM(C9,D9)</f>
        <v>6008.8865619958106</v>
      </c>
    </row>
    <row r="10" spans="2:6" ht="15" customHeight="1" x14ac:dyDescent="0.2">
      <c r="B10" s="710" t="s">
        <v>298</v>
      </c>
      <c r="C10" s="848">
        <f>'Section 8 data country'!$C$8</f>
        <v>7.718</v>
      </c>
      <c r="D10" s="849">
        <f>'Section 8 data country'!$D$8</f>
        <v>11721.5496583526</v>
      </c>
      <c r="E10" s="214">
        <f>'Section 8 data country'!$E$8</f>
        <v>7.5830305775470297</v>
      </c>
      <c r="F10" s="852">
        <f t="shared" si="0"/>
        <v>11729.267658352601</v>
      </c>
    </row>
    <row r="11" spans="2:6" ht="15" customHeight="1" x14ac:dyDescent="0.2">
      <c r="B11" s="710" t="s">
        <v>287</v>
      </c>
      <c r="C11" s="848">
        <f>'Section 8 data country'!$C$9</f>
        <v>43.26</v>
      </c>
      <c r="D11" s="849">
        <f>'Section 8 data country'!$D$9</f>
        <v>9666.9249003334007</v>
      </c>
      <c r="E11" s="214">
        <f>'Section 8 data country'!$E$9</f>
        <v>8.32253285549662</v>
      </c>
      <c r="F11" s="852">
        <f t="shared" si="0"/>
        <v>9710.1849003334009</v>
      </c>
    </row>
    <row r="12" spans="2:6" ht="15" customHeight="1" x14ac:dyDescent="0.2">
      <c r="B12" s="710" t="s">
        <v>288</v>
      </c>
      <c r="C12" s="848">
        <f>'Section 8 data country'!$C$10</f>
        <v>39.130000000000003</v>
      </c>
      <c r="D12" s="849">
        <f>'Section 8 data country'!$D$10</f>
        <v>4180.77946987018</v>
      </c>
      <c r="E12" s="214">
        <f>'Section 8 data country'!$E$10</f>
        <v>13.833859504847</v>
      </c>
      <c r="F12" s="852">
        <f t="shared" si="0"/>
        <v>4219.9094698701801</v>
      </c>
    </row>
    <row r="13" spans="2:6" ht="15" customHeight="1" x14ac:dyDescent="0.2">
      <c r="B13" s="710" t="s">
        <v>301</v>
      </c>
      <c r="C13" s="848">
        <f>'Section 8 data country'!$C$11</f>
        <v>10.266</v>
      </c>
      <c r="D13" s="849">
        <f>'Section 8 data country'!$D$11</f>
        <v>2535.9825544893301</v>
      </c>
      <c r="E13" s="214">
        <f>'Section 8 data country'!$E$11</f>
        <v>21.8915724752428</v>
      </c>
      <c r="F13" s="852">
        <f t="shared" si="0"/>
        <v>2546.2485544893302</v>
      </c>
    </row>
    <row r="14" spans="2:6" ht="15" customHeight="1" x14ac:dyDescent="0.2">
      <c r="B14" s="710" t="s">
        <v>302</v>
      </c>
      <c r="C14" s="848">
        <f>'Section 8 data country'!$C$12</f>
        <v>2.1800000000000002</v>
      </c>
      <c r="D14" s="849">
        <f>'Section 8 data country'!$D$12</f>
        <v>2933.6946766623601</v>
      </c>
      <c r="E14" s="214">
        <f>'Section 8 data country'!$E$12</f>
        <v>22.819562761826301</v>
      </c>
      <c r="F14" s="852">
        <f t="shared" si="0"/>
        <v>2935.8746766623599</v>
      </c>
    </row>
    <row r="15" spans="2:6" ht="15" customHeight="1" x14ac:dyDescent="0.2">
      <c r="B15" s="710" t="s">
        <v>303</v>
      </c>
      <c r="C15" s="848">
        <f>'Section 8 data country'!$C$13</f>
        <v>41.787999999999997</v>
      </c>
      <c r="D15" s="849">
        <f>'Section 8 data country'!$D$13</f>
        <v>7635.2705771139099</v>
      </c>
      <c r="E15" s="214">
        <f>'Section 8 data country'!$E$13</f>
        <v>9.5529459434836195</v>
      </c>
      <c r="F15" s="852">
        <f t="shared" si="0"/>
        <v>7677.0585771139095</v>
      </c>
    </row>
    <row r="16" spans="2:6" ht="15" customHeight="1" x14ac:dyDescent="0.2">
      <c r="B16" s="710" t="s">
        <v>304</v>
      </c>
      <c r="C16" s="848">
        <f>'Section 8 data country'!$C$14</f>
        <v>69.602000000000004</v>
      </c>
      <c r="D16" s="849">
        <f>'Section 8 data country'!$D$14</f>
        <v>4888.4995181294598</v>
      </c>
      <c r="E16" s="214">
        <f>'Section 8 data country'!$E$14</f>
        <v>10.7492845161399</v>
      </c>
      <c r="F16" s="852">
        <f t="shared" si="0"/>
        <v>4958.1015181294597</v>
      </c>
    </row>
    <row r="17" spans="2:6" ht="15" customHeight="1" x14ac:dyDescent="0.2">
      <c r="B17" s="710" t="s">
        <v>291</v>
      </c>
      <c r="C17" s="848">
        <f>'Section 8 data country'!$C$15</f>
        <v>236.78200000000001</v>
      </c>
      <c r="D17" s="849">
        <f>'Section 8 data country'!$D$15</f>
        <v>4074.0796006648297</v>
      </c>
      <c r="E17" s="214">
        <f>'Section 8 data country'!$E$15</f>
        <v>13.357929108821301</v>
      </c>
      <c r="F17" s="852">
        <f t="shared" si="0"/>
        <v>4310.8616006648299</v>
      </c>
    </row>
    <row r="18" spans="2:6" ht="15" customHeight="1" x14ac:dyDescent="0.2">
      <c r="B18" s="710" t="s">
        <v>292</v>
      </c>
      <c r="C18" s="848">
        <f>'Section 8 data country'!$C$16</f>
        <v>78.634</v>
      </c>
      <c r="D18" s="849">
        <f>'Section 8 data country'!$D$16</f>
        <v>12663.885227889699</v>
      </c>
      <c r="E18" s="214">
        <f>'Section 8 data country'!$E$16</f>
        <v>5.6790246614393398</v>
      </c>
      <c r="F18" s="852">
        <f t="shared" si="0"/>
        <v>12742.519227889699</v>
      </c>
    </row>
    <row r="19" spans="2:6" ht="15" customHeight="1" x14ac:dyDescent="0.2">
      <c r="B19" s="710" t="s">
        <v>293</v>
      </c>
      <c r="C19" s="848">
        <f>'Section 8 data country'!$C$17</f>
        <v>12.712999999999999</v>
      </c>
      <c r="D19" s="849">
        <f>'Section 8 data country'!$D$17</f>
        <v>10061.2900575969</v>
      </c>
      <c r="E19" s="214">
        <f>'Section 8 data country'!$E$17</f>
        <v>6.5746731773011602</v>
      </c>
      <c r="F19" s="852">
        <f t="shared" si="0"/>
        <v>10074.003057596899</v>
      </c>
    </row>
    <row r="20" spans="2:6" ht="15" customHeight="1" x14ac:dyDescent="0.2">
      <c r="B20" s="710" t="s">
        <v>294</v>
      </c>
      <c r="C20" s="848">
        <f>'Section 8 data country'!$C$18</f>
        <v>65.744</v>
      </c>
      <c r="D20" s="849">
        <f>'Section 8 data country'!$D$18</f>
        <v>13488.2501224513</v>
      </c>
      <c r="E20" s="214">
        <f>'Section 8 data country'!$E$18</f>
        <v>7.0093250820709798</v>
      </c>
      <c r="F20" s="852">
        <f t="shared" si="0"/>
        <v>13553.9941224513</v>
      </c>
    </row>
    <row r="21" spans="2:6" ht="15" customHeight="1" x14ac:dyDescent="0.2">
      <c r="B21" s="710" t="s">
        <v>295</v>
      </c>
      <c r="C21" s="848">
        <f>'Section 8 data country'!$C$19</f>
        <v>227.90199999999999</v>
      </c>
      <c r="D21" s="849">
        <f>'Section 8 data country'!$D$19</f>
        <v>17486.470627963598</v>
      </c>
      <c r="E21" s="214">
        <f>'Section 8 data country'!$E$19</f>
        <v>8.0438832585913396</v>
      </c>
      <c r="F21" s="852">
        <f t="shared" si="0"/>
        <v>17714.372627963596</v>
      </c>
    </row>
    <row r="22" spans="2:6" ht="15" customHeight="1" x14ac:dyDescent="0.2">
      <c r="B22" s="714" t="s">
        <v>296</v>
      </c>
      <c r="C22" s="850">
        <f>'Section 8 data country'!$C$20</f>
        <v>109.752</v>
      </c>
      <c r="D22" s="851">
        <f>'Section 8 data country'!$D$20</f>
        <v>7554.9240871444799</v>
      </c>
      <c r="E22" s="717">
        <f>'Section 8 data country'!$E$20</f>
        <v>6.4465217145378402</v>
      </c>
      <c r="F22" s="853">
        <f t="shared" si="0"/>
        <v>7664.6760871444803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AAC17B2-1AF9-4BF2-87E3-38B75DC86851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  <x14:conditionalFormatting xmlns:xm="http://schemas.microsoft.com/office/excel/2006/main">
          <x14:cfRule type="cellIs" priority="1" operator="between" id="{0FEEB265-7E9A-4043-8C9A-172277496A60}">
            <xm:f>Sheet1!$D$4</xm:f>
            <xm:f>Sheet1!$E$4</xm:f>
            <x14:dxf>
              <numFmt numFmtId="173" formatCode="&quot;&lt; 1&quot;"/>
            </x14:dxf>
          </x14:cfRule>
          <xm:sqref>C8:D22 F8:F22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x14ac:dyDescent="0.2">
      <c r="A2" s="278"/>
      <c r="B2" s="302"/>
      <c r="C2" s="303"/>
      <c r="D2" s="284"/>
      <c r="E2" s="285"/>
      <c r="F2" s="279"/>
      <c r="H2" s="302"/>
      <c r="I2" s="303"/>
      <c r="J2" s="285"/>
      <c r="K2" s="285"/>
      <c r="L2" s="285"/>
      <c r="M2" s="285"/>
      <c r="N2" s="279"/>
      <c r="P2" s="302"/>
      <c r="Q2" s="303"/>
      <c r="R2" s="284"/>
      <c r="S2" s="285"/>
    </row>
    <row r="3" spans="1:19" x14ac:dyDescent="0.2">
      <c r="A3" s="278"/>
      <c r="B3" s="992" t="s">
        <v>712</v>
      </c>
      <c r="C3" s="993"/>
      <c r="D3" s="993"/>
      <c r="E3" s="993"/>
      <c r="F3" s="993"/>
      <c r="G3" s="993"/>
      <c r="H3" s="993"/>
    </row>
    <row r="4" spans="1:19" x14ac:dyDescent="0.2">
      <c r="A4" s="150"/>
      <c r="B4" s="286"/>
      <c r="C4" s="286" t="s">
        <v>609</v>
      </c>
      <c r="D4" s="445" t="s">
        <v>78</v>
      </c>
      <c r="E4" s="445" t="s">
        <v>309</v>
      </c>
      <c r="F4" s="445" t="s">
        <v>82</v>
      </c>
      <c r="G4" s="445" t="s">
        <v>310</v>
      </c>
      <c r="H4" s="445" t="s">
        <v>486</v>
      </c>
      <c r="I4" s="150"/>
      <c r="J4" s="150"/>
    </row>
    <row r="5" spans="1:19" s="23" customFormat="1" x14ac:dyDescent="0.2">
      <c r="A5" s="433"/>
      <c r="B5" s="441"/>
      <c r="C5" s="431" t="s">
        <v>106</v>
      </c>
      <c r="D5" s="432">
        <v>12689.88</v>
      </c>
      <c r="E5" s="434">
        <v>91536.558999999994</v>
      </c>
      <c r="F5" s="439">
        <v>1.2306123466278243</v>
      </c>
      <c r="G5" s="446">
        <f>E5*F5/100</f>
        <v>1126.4601967322628</v>
      </c>
      <c r="H5" s="447">
        <f>SUM(D5,E5)</f>
        <v>104226.439</v>
      </c>
      <c r="I5" s="433"/>
      <c r="J5" s="433"/>
    </row>
    <row r="6" spans="1:19" s="24" customFormat="1" x14ac:dyDescent="0.2">
      <c r="A6" s="435"/>
      <c r="B6" s="442"/>
      <c r="C6" s="431" t="s">
        <v>92</v>
      </c>
      <c r="D6" s="432">
        <v>8647.2039999999997</v>
      </c>
      <c r="E6" s="434">
        <v>19182.116999999998</v>
      </c>
      <c r="F6" s="439">
        <v>2.3163705555550931</v>
      </c>
      <c r="G6" s="446">
        <f t="shared" ref="G6:G26" si="0">E6*F6/100</f>
        <v>444.32891012012789</v>
      </c>
      <c r="H6" s="447">
        <f>SUM(D6,E6)</f>
        <v>27829.320999999996</v>
      </c>
      <c r="I6" s="435"/>
      <c r="J6" s="435"/>
    </row>
    <row r="7" spans="1:19" s="24" customFormat="1" x14ac:dyDescent="0.2">
      <c r="A7" s="435"/>
      <c r="B7" s="442"/>
      <c r="C7" s="431" t="s">
        <v>105</v>
      </c>
      <c r="D7" s="432">
        <v>4042.6770000000001</v>
      </c>
      <c r="E7" s="434">
        <v>72377.625</v>
      </c>
      <c r="F7" s="439">
        <v>1.4751991132146667</v>
      </c>
      <c r="G7" s="446">
        <f>E7*F7/100</f>
        <v>1067.7140821658368</v>
      </c>
      <c r="H7" s="447">
        <f>SUM(D7,E7)</f>
        <v>76420.301999999996</v>
      </c>
      <c r="I7" s="435"/>
      <c r="J7" s="435"/>
    </row>
    <row r="8" spans="1:19" s="24" customFormat="1" x14ac:dyDescent="0.2">
      <c r="A8" s="435"/>
      <c r="B8" s="442"/>
      <c r="C8" s="431" t="s">
        <v>84</v>
      </c>
      <c r="D8" s="432">
        <v>2997.0770000000002</v>
      </c>
      <c r="E8" s="436">
        <v>3343.5390000000002</v>
      </c>
      <c r="F8" s="439">
        <v>7.8114557794810198</v>
      </c>
      <c r="G8" s="446">
        <f t="shared" si="0"/>
        <v>261.1790704547019</v>
      </c>
      <c r="H8" s="447">
        <f>SUM(D8,E8)</f>
        <v>6340.616</v>
      </c>
      <c r="I8" s="435"/>
      <c r="J8" s="435"/>
    </row>
    <row r="9" spans="1:19" s="24" customFormat="1" x14ac:dyDescent="0.2">
      <c r="A9" s="435"/>
      <c r="B9" s="442"/>
      <c r="C9" s="431" t="s">
        <v>85</v>
      </c>
      <c r="D9" s="432">
        <v>1365.0309999999999</v>
      </c>
      <c r="E9" s="436">
        <v>5039.1080000000002</v>
      </c>
      <c r="F9" s="439">
        <v>5.1451452051424553</v>
      </c>
      <c r="G9" s="446">
        <f t="shared" si="0"/>
        <v>259.26942364394989</v>
      </c>
      <c r="H9" s="447">
        <f t="shared" ref="H9:H26" si="1">SUM(D9,E9)</f>
        <v>6404.1390000000001</v>
      </c>
      <c r="I9" s="435"/>
      <c r="J9" s="435"/>
    </row>
    <row r="10" spans="1:19" s="24" customFormat="1" x14ac:dyDescent="0.2">
      <c r="A10" s="435"/>
      <c r="B10" s="442"/>
      <c r="C10" s="431" t="s">
        <v>86</v>
      </c>
      <c r="D10" s="432">
        <v>1649.117</v>
      </c>
      <c r="E10" s="436">
        <v>1362.491</v>
      </c>
      <c r="F10" s="439">
        <v>9.4619481506345604</v>
      </c>
      <c r="G10" s="446">
        <f t="shared" si="0"/>
        <v>128.91819197706232</v>
      </c>
      <c r="H10" s="447">
        <f t="shared" si="1"/>
        <v>3011.6080000000002</v>
      </c>
      <c r="I10" s="435"/>
      <c r="J10" s="435"/>
    </row>
    <row r="11" spans="1:19" s="24" customFormat="1" x14ac:dyDescent="0.2">
      <c r="A11" s="435"/>
      <c r="B11" s="442"/>
      <c r="C11" s="431" t="s">
        <v>87</v>
      </c>
      <c r="D11" s="432">
        <v>463.02100000000002</v>
      </c>
      <c r="E11" s="436">
        <v>1829.0329999999999</v>
      </c>
      <c r="F11" s="439">
        <v>7.6590679707465288</v>
      </c>
      <c r="G11" s="446">
        <f t="shared" si="0"/>
        <v>140.08688067738433</v>
      </c>
      <c r="H11" s="447">
        <f t="shared" si="1"/>
        <v>2292.0540000000001</v>
      </c>
      <c r="I11" s="435"/>
      <c r="J11" s="435"/>
    </row>
    <row r="12" spans="1:19" s="24" customFormat="1" x14ac:dyDescent="0.2">
      <c r="A12" s="435"/>
      <c r="B12" s="442"/>
      <c r="C12" s="431" t="s">
        <v>88</v>
      </c>
      <c r="D12" s="432">
        <v>552.56799999999998</v>
      </c>
      <c r="E12" s="436">
        <v>3157.569</v>
      </c>
      <c r="F12" s="439">
        <v>5.7243781619447907</v>
      </c>
      <c r="G12" s="446">
        <f t="shared" si="0"/>
        <v>180.75119028433852</v>
      </c>
      <c r="H12" s="447">
        <f t="shared" si="1"/>
        <v>3710.1369999999997</v>
      </c>
      <c r="I12" s="435"/>
      <c r="J12" s="435"/>
    </row>
    <row r="13" spans="1:19" s="24" customFormat="1" x14ac:dyDescent="0.2">
      <c r="A13" s="435"/>
      <c r="B13" s="442"/>
      <c r="C13" s="431" t="s">
        <v>89</v>
      </c>
      <c r="D13" s="432">
        <v>893.54899999999998</v>
      </c>
      <c r="E13" s="436">
        <v>2035.537</v>
      </c>
      <c r="F13" s="439">
        <v>9.4673845147638982</v>
      </c>
      <c r="G13" s="446">
        <f t="shared" si="0"/>
        <v>192.71211473028961</v>
      </c>
      <c r="H13" s="447">
        <f t="shared" si="1"/>
        <v>2929.0860000000002</v>
      </c>
      <c r="I13" s="435"/>
      <c r="J13" s="435"/>
    </row>
    <row r="14" spans="1:19" s="24" customFormat="1" x14ac:dyDescent="0.2">
      <c r="A14" s="435"/>
      <c r="B14" s="442"/>
      <c r="C14" s="431" t="s">
        <v>90</v>
      </c>
      <c r="D14" s="432">
        <v>305.13900000000001</v>
      </c>
      <c r="E14" s="436">
        <v>354.459</v>
      </c>
      <c r="F14" s="439">
        <v>20.780004018332118</v>
      </c>
      <c r="G14" s="446">
        <f t="shared" si="0"/>
        <v>73.656594443339841</v>
      </c>
      <c r="H14" s="447">
        <f t="shared" si="1"/>
        <v>659.59799999999996</v>
      </c>
      <c r="I14" s="435"/>
      <c r="J14" s="435"/>
    </row>
    <row r="15" spans="1:19" s="24" customFormat="1" x14ac:dyDescent="0.2">
      <c r="A15" s="435"/>
      <c r="B15" s="442"/>
      <c r="C15" s="431" t="s">
        <v>91</v>
      </c>
      <c r="D15" s="432">
        <v>421.709</v>
      </c>
      <c r="E15" s="436">
        <v>2044.847</v>
      </c>
      <c r="F15" s="439">
        <v>9.297201362009325</v>
      </c>
      <c r="G15" s="446">
        <f t="shared" si="0"/>
        <v>190.11354313500681</v>
      </c>
      <c r="H15" s="447">
        <f t="shared" si="1"/>
        <v>2466.556</v>
      </c>
      <c r="I15" s="435"/>
      <c r="J15" s="435"/>
    </row>
    <row r="16" spans="1:19" s="24" customFormat="1" x14ac:dyDescent="0.2">
      <c r="A16" s="435"/>
      <c r="B16" s="442"/>
      <c r="C16" s="431" t="s">
        <v>94</v>
      </c>
      <c r="D16" s="432">
        <v>1517.2840000000001</v>
      </c>
      <c r="E16" s="436">
        <v>21418.791000000001</v>
      </c>
      <c r="F16" s="439">
        <v>3.3255831493575942</v>
      </c>
      <c r="G16" s="446">
        <f t="shared" si="0"/>
        <v>712.29970429212108</v>
      </c>
      <c r="H16" s="447">
        <f t="shared" si="1"/>
        <v>22936.075000000001</v>
      </c>
      <c r="I16" s="435"/>
      <c r="J16" s="435"/>
    </row>
    <row r="17" spans="1:18" s="24" customFormat="1" x14ac:dyDescent="0.2">
      <c r="A17" s="435"/>
      <c r="B17" s="442"/>
      <c r="C17" s="431" t="s">
        <v>95</v>
      </c>
      <c r="D17" s="432">
        <v>1307.662</v>
      </c>
      <c r="E17" s="436">
        <v>8054.1419999999998</v>
      </c>
      <c r="F17" s="439">
        <v>6.1142564922613074</v>
      </c>
      <c r="G17" s="446">
        <f t="shared" si="0"/>
        <v>492.45090013094472</v>
      </c>
      <c r="H17" s="447">
        <f t="shared" si="1"/>
        <v>9361.8040000000001</v>
      </c>
      <c r="I17" s="435"/>
      <c r="J17" s="435"/>
    </row>
    <row r="18" spans="1:18" s="24" customFormat="1" x14ac:dyDescent="0.2">
      <c r="A18" s="435"/>
      <c r="B18" s="442"/>
      <c r="C18" s="431" t="s">
        <v>96</v>
      </c>
      <c r="D18" s="432">
        <v>68.837000000000003</v>
      </c>
      <c r="E18" s="436">
        <v>6721.3360000000002</v>
      </c>
      <c r="F18" s="439">
        <v>5.6951521276336496</v>
      </c>
      <c r="G18" s="446">
        <f t="shared" si="0"/>
        <v>382.79031020940647</v>
      </c>
      <c r="H18" s="447">
        <f t="shared" si="1"/>
        <v>6790.1730000000007</v>
      </c>
      <c r="I18" s="435"/>
      <c r="J18" s="435"/>
    </row>
    <row r="19" spans="1:18" s="24" customFormat="1" x14ac:dyDescent="0.2">
      <c r="A19" s="435"/>
      <c r="B19" s="442"/>
      <c r="C19" s="431" t="s">
        <v>97</v>
      </c>
      <c r="D19" s="432">
        <v>194.27799999999999</v>
      </c>
      <c r="E19" s="436">
        <v>12082.593000000001</v>
      </c>
      <c r="F19" s="439">
        <v>3.8964387473347029</v>
      </c>
      <c r="G19" s="446">
        <f t="shared" si="0"/>
        <v>470.79083533475051</v>
      </c>
      <c r="H19" s="447">
        <f t="shared" si="1"/>
        <v>12276.871000000001</v>
      </c>
      <c r="I19" s="435"/>
      <c r="J19" s="435"/>
    </row>
    <row r="20" spans="1:18" s="24" customFormat="1" x14ac:dyDescent="0.2">
      <c r="A20" s="435"/>
      <c r="B20" s="442"/>
      <c r="C20" s="431" t="s">
        <v>98</v>
      </c>
      <c r="D20" s="432">
        <v>251.18700000000001</v>
      </c>
      <c r="E20" s="436">
        <v>5337.9350000000004</v>
      </c>
      <c r="F20" s="439">
        <v>4.1490156635607764</v>
      </c>
      <c r="G20" s="446">
        <f t="shared" si="0"/>
        <v>221.47175926069295</v>
      </c>
      <c r="H20" s="447">
        <f t="shared" si="1"/>
        <v>5589.1220000000003</v>
      </c>
      <c r="I20" s="435"/>
      <c r="J20" s="435"/>
    </row>
    <row r="21" spans="1:18" s="24" customFormat="1" x14ac:dyDescent="0.2">
      <c r="A21" s="435"/>
      <c r="B21" s="442"/>
      <c r="C21" s="431" t="s">
        <v>99</v>
      </c>
      <c r="D21" s="432">
        <v>53.389000000000003</v>
      </c>
      <c r="E21" s="436">
        <v>3082.8330000000001</v>
      </c>
      <c r="F21" s="439">
        <v>8.4046439959169223</v>
      </c>
      <c r="G21" s="446">
        <f t="shared" si="0"/>
        <v>259.10113863864552</v>
      </c>
      <c r="H21" s="447">
        <f t="shared" si="1"/>
        <v>3136.2220000000002</v>
      </c>
      <c r="I21" s="435"/>
      <c r="J21" s="435"/>
    </row>
    <row r="22" spans="1:18" s="24" customFormat="1" x14ac:dyDescent="0.2">
      <c r="A22" s="435"/>
      <c r="B22" s="442"/>
      <c r="C22" s="431" t="s">
        <v>100</v>
      </c>
      <c r="D22" s="432">
        <v>21.913</v>
      </c>
      <c r="E22" s="436">
        <v>2321.1959999999999</v>
      </c>
      <c r="F22" s="439">
        <v>5.0667052962575481</v>
      </c>
      <c r="G22" s="446">
        <f t="shared" si="0"/>
        <v>117.60816066851835</v>
      </c>
      <c r="H22" s="447">
        <f t="shared" si="1"/>
        <v>2343.1089999999999</v>
      </c>
      <c r="I22" s="435"/>
      <c r="J22" s="435"/>
    </row>
    <row r="23" spans="1:18" s="24" customFormat="1" x14ac:dyDescent="0.2">
      <c r="A23" s="435"/>
      <c r="B23" s="442"/>
      <c r="C23" s="431" t="s">
        <v>101</v>
      </c>
      <c r="D23" s="432">
        <v>6.6000000000000003E-2</v>
      </c>
      <c r="E23" s="436">
        <v>1604.1189999999999</v>
      </c>
      <c r="F23" s="439">
        <v>5.71123622112116</v>
      </c>
      <c r="G23" s="446">
        <f t="shared" si="0"/>
        <v>91.615025357886537</v>
      </c>
      <c r="H23" s="447">
        <f t="shared" si="1"/>
        <v>1604.1849999999999</v>
      </c>
      <c r="I23" s="435"/>
      <c r="J23" s="435"/>
    </row>
    <row r="24" spans="1:18" s="24" customFormat="1" x14ac:dyDescent="0.2">
      <c r="A24" s="435"/>
      <c r="B24" s="442"/>
      <c r="C24" s="431" t="s">
        <v>102</v>
      </c>
      <c r="D24" s="432">
        <v>29.15</v>
      </c>
      <c r="E24" s="436">
        <v>2614.5630000000001</v>
      </c>
      <c r="F24" s="439">
        <v>7.4416343574903214</v>
      </c>
      <c r="G24" s="446">
        <f t="shared" si="0"/>
        <v>194.56621850622966</v>
      </c>
      <c r="H24" s="447">
        <f t="shared" si="1"/>
        <v>2643.7130000000002</v>
      </c>
      <c r="I24" s="435"/>
      <c r="J24" s="435"/>
    </row>
    <row r="25" spans="1:18" s="24" customFormat="1" x14ac:dyDescent="0.2">
      <c r="A25" s="435"/>
      <c r="B25" s="442"/>
      <c r="C25" s="431" t="s">
        <v>103</v>
      </c>
      <c r="D25" s="432">
        <v>0.46899999999999997</v>
      </c>
      <c r="E25" s="436">
        <v>2461.12</v>
      </c>
      <c r="F25" s="439">
        <v>7.4100265085064407</v>
      </c>
      <c r="G25" s="446">
        <f t="shared" si="0"/>
        <v>182.36964440615372</v>
      </c>
      <c r="H25" s="447">
        <f t="shared" si="1"/>
        <v>2461.5889999999999</v>
      </c>
      <c r="I25" s="435"/>
      <c r="J25" s="435"/>
    </row>
    <row r="26" spans="1:18" s="24" customFormat="1" ht="13.5" thickBot="1" x14ac:dyDescent="0.25">
      <c r="A26" s="435"/>
      <c r="B26" s="297"/>
      <c r="C26" s="437" t="s">
        <v>104</v>
      </c>
      <c r="D26" s="440">
        <v>598.44500000000005</v>
      </c>
      <c r="E26" s="440">
        <v>6686.9279999999999</v>
      </c>
      <c r="F26" s="438">
        <v>4.5903775743846831</v>
      </c>
      <c r="G26" s="336">
        <f t="shared" si="0"/>
        <v>306.95524332725023</v>
      </c>
      <c r="H26" s="344">
        <f t="shared" si="1"/>
        <v>7285.3729999999996</v>
      </c>
      <c r="I26" s="435"/>
      <c r="J26" s="435"/>
    </row>
    <row r="27" spans="1:18" s="24" customFormat="1" x14ac:dyDescent="0.2">
      <c r="A27" s="435"/>
      <c r="B27" s="435"/>
      <c r="C27" s="433"/>
      <c r="D27" s="433"/>
      <c r="E27" s="433"/>
      <c r="F27" s="433"/>
      <c r="G27" s="433"/>
      <c r="H27" s="435"/>
      <c r="I27" s="435"/>
      <c r="J27" s="435"/>
    </row>
    <row r="28" spans="1:18" s="24" customFormat="1" x14ac:dyDescent="0.2">
      <c r="A28" s="435"/>
      <c r="B28" s="435"/>
      <c r="C28" s="435"/>
      <c r="D28" s="435"/>
      <c r="E28" s="435"/>
      <c r="F28" s="435"/>
      <c r="G28" s="435"/>
      <c r="H28" s="435"/>
      <c r="I28" s="435"/>
      <c r="J28" s="435"/>
    </row>
    <row r="29" spans="1:18" s="24" customFormat="1" x14ac:dyDescent="0.2">
      <c r="B29" s="992" t="s">
        <v>712</v>
      </c>
      <c r="C29" s="993"/>
      <c r="D29" s="993"/>
      <c r="E29" s="993"/>
      <c r="F29" s="993"/>
      <c r="G29" s="993"/>
      <c r="H29" s="993"/>
    </row>
    <row r="30" spans="1:18" s="24" customFormat="1" x14ac:dyDescent="0.2">
      <c r="B30" s="286"/>
      <c r="C30" s="286" t="s">
        <v>709</v>
      </c>
      <c r="D30" s="445" t="s">
        <v>78</v>
      </c>
      <c r="E30" s="445" t="s">
        <v>309</v>
      </c>
      <c r="F30" s="445" t="s">
        <v>82</v>
      </c>
      <c r="G30" s="445" t="s">
        <v>310</v>
      </c>
      <c r="H30" s="445" t="s">
        <v>486</v>
      </c>
    </row>
    <row r="31" spans="1:18" s="23" customFormat="1" x14ac:dyDescent="0.2">
      <c r="B31" s="441" t="s">
        <v>92</v>
      </c>
      <c r="C31" s="431" t="s">
        <v>119</v>
      </c>
      <c r="D31" s="432"/>
      <c r="E31" s="434"/>
      <c r="F31" s="439"/>
      <c r="G31" s="446">
        <f>E31*F31/100</f>
        <v>0</v>
      </c>
      <c r="H31" s="447">
        <f>SUM(D31,E31)</f>
        <v>0</v>
      </c>
      <c r="K31" t="s">
        <v>379</v>
      </c>
      <c r="L31" t="s">
        <v>611</v>
      </c>
      <c r="M31" t="s">
        <v>612</v>
      </c>
      <c r="N31" t="s">
        <v>613</v>
      </c>
      <c r="O31" t="s">
        <v>614</v>
      </c>
      <c r="P31" t="s">
        <v>613</v>
      </c>
      <c r="Q31" t="s">
        <v>615</v>
      </c>
      <c r="R31" t="s">
        <v>613</v>
      </c>
    </row>
    <row r="32" spans="1:18" s="23" customFormat="1" x14ac:dyDescent="0.2">
      <c r="B32" s="441"/>
      <c r="C32" s="431" t="s">
        <v>120</v>
      </c>
      <c r="D32" s="432"/>
      <c r="E32" s="434"/>
      <c r="F32" s="439"/>
      <c r="G32" s="446">
        <f t="shared" ref="G32:G37" si="2">E32*F32/100</f>
        <v>0</v>
      </c>
      <c r="H32" s="447">
        <f t="shared" ref="H32:H37" si="3">SUM(D32,E32)</f>
        <v>0</v>
      </c>
      <c r="K32">
        <v>2012</v>
      </c>
      <c r="L32" t="s">
        <v>616</v>
      </c>
      <c r="M32" s="540"/>
      <c r="N32" s="540"/>
      <c r="O32" s="540"/>
      <c r="P32" s="540"/>
      <c r="Q32" s="540"/>
      <c r="R32" s="540"/>
    </row>
    <row r="33" spans="2:18" s="23" customFormat="1" x14ac:dyDescent="0.2">
      <c r="B33" s="441"/>
      <c r="C33" s="431" t="s">
        <v>121</v>
      </c>
      <c r="D33" s="432"/>
      <c r="E33" s="434"/>
      <c r="F33" s="439"/>
      <c r="G33" s="446">
        <f t="shared" si="2"/>
        <v>0</v>
      </c>
      <c r="H33" s="447">
        <f t="shared" si="3"/>
        <v>0</v>
      </c>
      <c r="K33"/>
      <c r="L33" t="s">
        <v>617</v>
      </c>
      <c r="M33" s="540"/>
      <c r="N33" s="540"/>
      <c r="O33" s="540"/>
      <c r="P33" s="540"/>
      <c r="Q33" s="540"/>
      <c r="R33" s="540"/>
    </row>
    <row r="34" spans="2:18" s="23" customFormat="1" x14ac:dyDescent="0.2">
      <c r="B34" s="441"/>
      <c r="C34" s="431" t="s">
        <v>122</v>
      </c>
      <c r="D34" s="432"/>
      <c r="E34" s="434"/>
      <c r="F34" s="439"/>
      <c r="G34" s="446">
        <f t="shared" si="2"/>
        <v>0</v>
      </c>
      <c r="H34" s="447">
        <f t="shared" si="3"/>
        <v>0</v>
      </c>
      <c r="K34"/>
      <c r="L34" s="450" t="s">
        <v>618</v>
      </c>
      <c r="M34" s="541"/>
      <c r="N34" s="541"/>
      <c r="O34" s="541"/>
      <c r="P34" s="541"/>
      <c r="Q34" s="541"/>
      <c r="R34" s="541"/>
    </row>
    <row r="35" spans="2:18" s="23" customFormat="1" x14ac:dyDescent="0.2">
      <c r="B35" s="441"/>
      <c r="C35" s="431" t="s">
        <v>123</v>
      </c>
      <c r="D35" s="432"/>
      <c r="E35" s="434"/>
      <c r="F35" s="439"/>
      <c r="G35" s="446">
        <f t="shared" si="2"/>
        <v>0</v>
      </c>
      <c r="H35" s="447">
        <f t="shared" si="3"/>
        <v>0</v>
      </c>
      <c r="K35"/>
      <c r="L35" s="450" t="s">
        <v>619</v>
      </c>
      <c r="M35" s="541"/>
      <c r="N35" s="541"/>
      <c r="O35" s="541"/>
      <c r="P35" s="541"/>
      <c r="Q35" s="541"/>
      <c r="R35" s="541"/>
    </row>
    <row r="36" spans="2:18" s="23" customFormat="1" x14ac:dyDescent="0.2">
      <c r="B36" s="441"/>
      <c r="C36" s="431" t="s">
        <v>124</v>
      </c>
      <c r="D36" s="432"/>
      <c r="E36" s="434"/>
      <c r="F36" s="439"/>
      <c r="G36" s="446">
        <f t="shared" si="2"/>
        <v>0</v>
      </c>
      <c r="H36" s="447">
        <f t="shared" si="3"/>
        <v>0</v>
      </c>
      <c r="K36"/>
      <c r="L36" s="451" t="s">
        <v>620</v>
      </c>
      <c r="M36" s="542"/>
      <c r="N36" s="542"/>
      <c r="O36" s="542"/>
      <c r="P36" s="542"/>
      <c r="Q36" s="542"/>
      <c r="R36" s="542"/>
    </row>
    <row r="37" spans="2:18" s="23" customFormat="1" x14ac:dyDescent="0.2">
      <c r="B37" s="441"/>
      <c r="C37" s="431" t="s">
        <v>125</v>
      </c>
      <c r="D37" s="432"/>
      <c r="E37" s="434"/>
      <c r="F37" s="439"/>
      <c r="G37" s="446">
        <f t="shared" si="2"/>
        <v>0</v>
      </c>
      <c r="H37" s="447">
        <f t="shared" si="3"/>
        <v>0</v>
      </c>
      <c r="K37"/>
      <c r="L37" s="451" t="s">
        <v>621</v>
      </c>
      <c r="M37" s="542"/>
      <c r="N37" s="542"/>
      <c r="O37" s="542"/>
      <c r="P37" s="542"/>
      <c r="Q37" s="542"/>
      <c r="R37" s="542"/>
    </row>
    <row r="38" spans="2:18" s="23" customFormat="1" x14ac:dyDescent="0.2">
      <c r="B38" s="441"/>
      <c r="C38" s="431"/>
      <c r="D38" s="432"/>
      <c r="E38" s="434"/>
      <c r="F38" s="439"/>
      <c r="G38" s="448"/>
      <c r="H38" s="449"/>
      <c r="K38"/>
      <c r="L38" t="s">
        <v>622</v>
      </c>
      <c r="M38" s="540"/>
      <c r="N38" s="540"/>
      <c r="O38" s="540"/>
      <c r="P38" s="540"/>
      <c r="Q38" s="540"/>
      <c r="R38" s="540"/>
    </row>
    <row r="39" spans="2:18" s="23" customFormat="1" x14ac:dyDescent="0.2">
      <c r="B39" s="441" t="s">
        <v>105</v>
      </c>
      <c r="C39" s="431" t="s">
        <v>119</v>
      </c>
      <c r="D39" s="432"/>
      <c r="E39" s="434"/>
      <c r="F39" s="439"/>
      <c r="G39" s="446">
        <f>E39*F39/100</f>
        <v>0</v>
      </c>
      <c r="H39" s="447">
        <f>SUM(D39,E39)</f>
        <v>0</v>
      </c>
      <c r="K39"/>
      <c r="L39" t="s">
        <v>623</v>
      </c>
      <c r="M39" s="540"/>
      <c r="N39" s="540"/>
      <c r="O39" s="540"/>
      <c r="P39" s="540"/>
      <c r="Q39" s="540"/>
      <c r="R39" s="540"/>
    </row>
    <row r="40" spans="2:18" s="23" customFormat="1" x14ac:dyDescent="0.2">
      <c r="B40" s="441"/>
      <c r="C40" s="431" t="s">
        <v>120</v>
      </c>
      <c r="D40" s="432"/>
      <c r="E40" s="434"/>
      <c r="F40" s="439"/>
      <c r="G40" s="446">
        <f t="shared" ref="G40:G45" si="4">E40*F40/100</f>
        <v>0</v>
      </c>
      <c r="H40" s="447">
        <f t="shared" ref="H40:H45" si="5">SUM(D40,E40)</f>
        <v>0</v>
      </c>
      <c r="K40"/>
      <c r="L40" s="450" t="s">
        <v>624</v>
      </c>
      <c r="M40" s="541"/>
      <c r="N40" s="541"/>
      <c r="O40" s="541"/>
      <c r="P40" s="541"/>
      <c r="Q40" s="541"/>
      <c r="R40" s="541"/>
    </row>
    <row r="41" spans="2:18" s="23" customFormat="1" x14ac:dyDescent="0.2">
      <c r="B41" s="441"/>
      <c r="C41" s="431" t="s">
        <v>121</v>
      </c>
      <c r="D41" s="432"/>
      <c r="E41" s="434"/>
      <c r="F41" s="439"/>
      <c r="G41" s="446">
        <f t="shared" si="4"/>
        <v>0</v>
      </c>
      <c r="H41" s="447">
        <f t="shared" si="5"/>
        <v>0</v>
      </c>
      <c r="K41"/>
      <c r="L41" s="450" t="s">
        <v>625</v>
      </c>
      <c r="M41" s="541"/>
      <c r="N41" s="541"/>
      <c r="O41" s="541"/>
      <c r="P41" s="541"/>
      <c r="Q41" s="541"/>
      <c r="R41" s="541"/>
    </row>
    <row r="42" spans="2:18" s="23" customFormat="1" x14ac:dyDescent="0.2">
      <c r="B42" s="441"/>
      <c r="C42" s="431" t="s">
        <v>122</v>
      </c>
      <c r="D42" s="432"/>
      <c r="E42" s="434"/>
      <c r="F42" s="439"/>
      <c r="G42" s="446">
        <f t="shared" si="4"/>
        <v>0</v>
      </c>
      <c r="H42" s="447">
        <f t="shared" si="5"/>
        <v>0</v>
      </c>
      <c r="K42"/>
      <c r="L42" s="450" t="s">
        <v>626</v>
      </c>
      <c r="M42" s="541"/>
      <c r="N42" s="541"/>
      <c r="O42" s="541"/>
      <c r="P42" s="541"/>
      <c r="Q42" s="541"/>
      <c r="R42" s="541"/>
    </row>
    <row r="43" spans="2:18" s="23" customFormat="1" x14ac:dyDescent="0.2">
      <c r="B43" s="441"/>
      <c r="C43" s="431" t="s">
        <v>123</v>
      </c>
      <c r="D43" s="432"/>
      <c r="E43" s="434"/>
      <c r="F43" s="439"/>
      <c r="G43" s="446">
        <f t="shared" si="4"/>
        <v>0</v>
      </c>
      <c r="H43" s="447">
        <f t="shared" si="5"/>
        <v>0</v>
      </c>
    </row>
    <row r="44" spans="2:18" s="23" customFormat="1" x14ac:dyDescent="0.2">
      <c r="B44" s="441"/>
      <c r="C44" s="431" t="s">
        <v>124</v>
      </c>
      <c r="D44" s="432"/>
      <c r="E44" s="434"/>
      <c r="F44" s="439"/>
      <c r="G44" s="446">
        <f t="shared" si="4"/>
        <v>0</v>
      </c>
      <c r="H44" s="447">
        <f t="shared" si="5"/>
        <v>0</v>
      </c>
      <c r="L44" s="431" t="s">
        <v>121</v>
      </c>
      <c r="M44" s="346">
        <f>SUM(M34:M35)</f>
        <v>0</v>
      </c>
      <c r="N44" s="23">
        <f>IF(SUM(M34:M35)=0,0,SQRT(SUMSQ(M34*N34,M35*N35))/SUM(M34:M35))</f>
        <v>0</v>
      </c>
      <c r="O44" s="346">
        <f>SUM(O34:O35)</f>
        <v>0</v>
      </c>
      <c r="P44" s="23">
        <f>IF(SUM(O34:O35)=0,0,SQRT(SUMSQ(O34*P34,O35*P35))/SUM(O34:O35))</f>
        <v>0</v>
      </c>
      <c r="Q44" s="346">
        <f>SUM(Q34:Q35)</f>
        <v>0</v>
      </c>
      <c r="R44" s="23">
        <f>IF(SUM(Q34:Q35)=0,0,SQRT(SUMSQ(Q34*R34,Q35*R35))/SUM(Q34:Q35))</f>
        <v>0</v>
      </c>
    </row>
    <row r="45" spans="2:18" s="23" customFormat="1" x14ac:dyDescent="0.2">
      <c r="B45" s="441"/>
      <c r="C45" s="431" t="s">
        <v>125</v>
      </c>
      <c r="D45" s="432"/>
      <c r="E45" s="434"/>
      <c r="F45" s="439"/>
      <c r="G45" s="446">
        <f t="shared" si="4"/>
        <v>0</v>
      </c>
      <c r="H45" s="447">
        <f t="shared" si="5"/>
        <v>0</v>
      </c>
      <c r="L45" s="431" t="s">
        <v>122</v>
      </c>
      <c r="M45" s="346">
        <f>SUM(M36:M37)</f>
        <v>0</v>
      </c>
      <c r="N45" s="23">
        <f>IF(SUM(M36:M37)=0,0,SQRT(SUMSQ(M36*N36,M37*N37))/SUM(M36:M37))</f>
        <v>0</v>
      </c>
      <c r="O45" s="346">
        <f>SUM(O36:O37)</f>
        <v>0</v>
      </c>
      <c r="P45" s="23">
        <f>IF(SUM(O36:O37)=0,0,SQRT(SUMSQ(O36*P36,O37*P37))/SUM(O36:O37))</f>
        <v>0</v>
      </c>
      <c r="Q45" s="346">
        <f>SUM(Q36:Q37)</f>
        <v>0</v>
      </c>
      <c r="R45" s="23">
        <f>IF(SUM(Q36:Q37)=0,0,SQRT(SUMSQ(Q36*R36,Q37*R37))/SUM(Q36:Q37))</f>
        <v>0</v>
      </c>
    </row>
    <row r="46" spans="2:18" s="23" customFormat="1" x14ac:dyDescent="0.2">
      <c r="B46" s="441"/>
      <c r="C46" s="431"/>
      <c r="D46" s="432"/>
      <c r="E46" s="434"/>
      <c r="F46" s="439"/>
      <c r="G46" s="448"/>
      <c r="H46" s="449"/>
      <c r="L46" s="431" t="s">
        <v>125</v>
      </c>
      <c r="M46" s="346">
        <f>SUM(M40:M42)</f>
        <v>0</v>
      </c>
      <c r="N46" s="23">
        <f>IF(SUM(M40:M42)=0,0,SQRT(SUMSQ(M40*N40,M41*N41,M42*N42))/SUM(M40:M42))</f>
        <v>0</v>
      </c>
      <c r="O46" s="346">
        <f>SUM(O40:O42)</f>
        <v>0</v>
      </c>
      <c r="P46" s="23">
        <f>IF(SUM(O40:O42)=0,0,SQRT(SUMSQ(O40*P40,O41*P41,O42*P42))/SUM(O40:O42))</f>
        <v>0</v>
      </c>
      <c r="Q46" s="346">
        <f>SUM(Q40:Q42)</f>
        <v>0</v>
      </c>
      <c r="R46" s="23">
        <f>IF(SUM(Q40:Q42)=0,0,SQRT(SUMSQ(Q40*R40,Q41*R41,Q42*R42))/SUM(Q40:Q42))</f>
        <v>0</v>
      </c>
    </row>
    <row r="47" spans="2:18" s="23" customFormat="1" x14ac:dyDescent="0.2">
      <c r="B47" s="441" t="s">
        <v>106</v>
      </c>
      <c r="C47" s="431" t="s">
        <v>119</v>
      </c>
      <c r="D47" s="432"/>
      <c r="E47" s="434"/>
      <c r="F47" s="439"/>
      <c r="G47" s="446">
        <f>E47*F47/100</f>
        <v>0</v>
      </c>
      <c r="H47" s="447">
        <f>SUM(D47,E47)</f>
        <v>0</v>
      </c>
    </row>
    <row r="48" spans="2:18" s="23" customFormat="1" x14ac:dyDescent="0.2">
      <c r="B48" s="441"/>
      <c r="C48" s="431" t="s">
        <v>120</v>
      </c>
      <c r="D48" s="432"/>
      <c r="E48" s="434"/>
      <c r="F48" s="439"/>
      <c r="G48" s="446">
        <f t="shared" ref="G48:G53" si="6">E48*F48/100</f>
        <v>0</v>
      </c>
      <c r="H48" s="447">
        <f t="shared" ref="H48:H53" si="7">SUM(D48,E48)</f>
        <v>0</v>
      </c>
    </row>
    <row r="49" spans="2:8" s="23" customFormat="1" x14ac:dyDescent="0.2">
      <c r="B49" s="441"/>
      <c r="C49" s="431" t="s">
        <v>121</v>
      </c>
      <c r="D49" s="432"/>
      <c r="E49" s="434"/>
      <c r="F49" s="439"/>
      <c r="G49" s="446">
        <f t="shared" si="6"/>
        <v>0</v>
      </c>
      <c r="H49" s="447">
        <f t="shared" si="7"/>
        <v>0</v>
      </c>
    </row>
    <row r="50" spans="2:8" s="23" customFormat="1" x14ac:dyDescent="0.2">
      <c r="B50" s="441"/>
      <c r="C50" s="431" t="s">
        <v>122</v>
      </c>
      <c r="D50" s="432"/>
      <c r="E50" s="434"/>
      <c r="F50" s="439"/>
      <c r="G50" s="446">
        <f t="shared" si="6"/>
        <v>0</v>
      </c>
      <c r="H50" s="447">
        <f t="shared" si="7"/>
        <v>0</v>
      </c>
    </row>
    <row r="51" spans="2:8" s="23" customFormat="1" x14ac:dyDescent="0.2">
      <c r="B51" s="441"/>
      <c r="C51" s="431" t="s">
        <v>123</v>
      </c>
      <c r="D51" s="432"/>
      <c r="E51" s="434"/>
      <c r="F51" s="439"/>
      <c r="G51" s="446">
        <f t="shared" si="6"/>
        <v>0</v>
      </c>
      <c r="H51" s="447">
        <f t="shared" si="7"/>
        <v>0</v>
      </c>
    </row>
    <row r="52" spans="2:8" s="23" customFormat="1" x14ac:dyDescent="0.2">
      <c r="B52" s="441"/>
      <c r="C52" s="431" t="s">
        <v>124</v>
      </c>
      <c r="D52" s="432"/>
      <c r="E52" s="434"/>
      <c r="F52" s="439"/>
      <c r="G52" s="446">
        <f t="shared" si="6"/>
        <v>0</v>
      </c>
      <c r="H52" s="447">
        <f t="shared" si="7"/>
        <v>0</v>
      </c>
    </row>
    <row r="53" spans="2:8" s="23" customFormat="1" ht="13.5" thickBot="1" x14ac:dyDescent="0.25">
      <c r="B53" s="297"/>
      <c r="C53" s="437" t="s">
        <v>125</v>
      </c>
      <c r="D53" s="440"/>
      <c r="E53" s="440"/>
      <c r="F53" s="438"/>
      <c r="G53" s="336">
        <f t="shared" si="6"/>
        <v>0</v>
      </c>
      <c r="H53" s="344">
        <f t="shared" si="7"/>
        <v>0</v>
      </c>
    </row>
    <row r="54" spans="2:8" s="23" customFormat="1" x14ac:dyDescent="0.2">
      <c r="C54" s="24"/>
      <c r="D54" s="276"/>
      <c r="E54" s="276"/>
      <c r="F54" s="24"/>
      <c r="G54" s="24"/>
    </row>
    <row r="55" spans="2:8" s="23" customFormat="1" x14ac:dyDescent="0.2"/>
    <row r="56" spans="2:8" s="23" customFormat="1" x14ac:dyDescent="0.2">
      <c r="B56" s="992" t="s">
        <v>712</v>
      </c>
      <c r="C56" s="993"/>
      <c r="D56" s="993"/>
      <c r="E56" s="993"/>
      <c r="F56" s="993"/>
      <c r="G56" s="993"/>
      <c r="H56" s="993"/>
    </row>
    <row r="57" spans="2:8" s="23" customFormat="1" ht="25.5" x14ac:dyDescent="0.2">
      <c r="B57" s="286"/>
      <c r="C57" s="539" t="s">
        <v>710</v>
      </c>
      <c r="D57" s="445" t="s">
        <v>78</v>
      </c>
      <c r="E57" s="445" t="s">
        <v>309</v>
      </c>
      <c r="F57" s="445" t="s">
        <v>82</v>
      </c>
      <c r="G57" s="445" t="s">
        <v>310</v>
      </c>
      <c r="H57" s="445" t="s">
        <v>486</v>
      </c>
    </row>
    <row r="58" spans="2:8" s="23" customFormat="1" x14ac:dyDescent="0.2">
      <c r="B58" s="441" t="s">
        <v>92</v>
      </c>
      <c r="C58" s="431" t="s">
        <v>127</v>
      </c>
      <c r="D58" s="432"/>
      <c r="E58" s="434"/>
      <c r="F58" s="439"/>
      <c r="G58" s="446">
        <f>E58*F58/100</f>
        <v>0</v>
      </c>
      <c r="H58" s="447">
        <f t="shared" ref="H58:H86" si="8">SUM(D58,E58)</f>
        <v>0</v>
      </c>
    </row>
    <row r="59" spans="2:8" s="23" customFormat="1" x14ac:dyDescent="0.2">
      <c r="B59" s="441"/>
      <c r="C59" s="431" t="s">
        <v>128</v>
      </c>
      <c r="D59" s="432"/>
      <c r="E59" s="434"/>
      <c r="F59" s="439"/>
      <c r="G59" s="446">
        <f t="shared" ref="G59:G66" si="9">E59*F59/100</f>
        <v>0</v>
      </c>
      <c r="H59" s="447">
        <f t="shared" si="8"/>
        <v>0</v>
      </c>
    </row>
    <row r="60" spans="2:8" s="23" customFormat="1" x14ac:dyDescent="0.2">
      <c r="B60" s="441"/>
      <c r="C60" s="431" t="s">
        <v>129</v>
      </c>
      <c r="D60" s="432"/>
      <c r="E60" s="434"/>
      <c r="F60" s="439"/>
      <c r="G60" s="446">
        <f t="shared" si="9"/>
        <v>0</v>
      </c>
      <c r="H60" s="447">
        <f t="shared" si="8"/>
        <v>0</v>
      </c>
    </row>
    <row r="61" spans="2:8" s="23" customFormat="1" x14ac:dyDescent="0.2">
      <c r="B61" s="441"/>
      <c r="C61" s="431" t="s">
        <v>130</v>
      </c>
      <c r="D61" s="432"/>
      <c r="E61" s="434"/>
      <c r="F61" s="439"/>
      <c r="G61" s="446">
        <f t="shared" si="9"/>
        <v>0</v>
      </c>
      <c r="H61" s="447">
        <f t="shared" si="8"/>
        <v>0</v>
      </c>
    </row>
    <row r="62" spans="2:8" s="23" customFormat="1" x14ac:dyDescent="0.2">
      <c r="B62" s="441"/>
      <c r="C62" s="431" t="s">
        <v>131</v>
      </c>
      <c r="D62" s="432"/>
      <c r="E62" s="434"/>
      <c r="F62" s="439"/>
      <c r="G62" s="446">
        <f t="shared" si="9"/>
        <v>0</v>
      </c>
      <c r="H62" s="447">
        <f t="shared" si="8"/>
        <v>0</v>
      </c>
    </row>
    <row r="63" spans="2:8" s="23" customFormat="1" x14ac:dyDescent="0.2">
      <c r="B63" s="441"/>
      <c r="C63" s="431" t="s">
        <v>132</v>
      </c>
      <c r="D63" s="432"/>
      <c r="E63" s="434"/>
      <c r="F63" s="439"/>
      <c r="G63" s="446">
        <f t="shared" si="9"/>
        <v>0</v>
      </c>
      <c r="H63" s="447">
        <f t="shared" si="8"/>
        <v>0</v>
      </c>
    </row>
    <row r="64" spans="2:8" s="23" customFormat="1" x14ac:dyDescent="0.2">
      <c r="B64" s="441"/>
      <c r="C64" s="431" t="s">
        <v>133</v>
      </c>
      <c r="D64" s="432"/>
      <c r="E64" s="434"/>
      <c r="F64" s="439"/>
      <c r="G64" s="446">
        <f t="shared" si="9"/>
        <v>0</v>
      </c>
      <c r="H64" s="447">
        <f t="shared" si="8"/>
        <v>0</v>
      </c>
    </row>
    <row r="65" spans="2:8" s="23" customFormat="1" x14ac:dyDescent="0.2">
      <c r="B65" s="441"/>
      <c r="C65" s="431" t="s">
        <v>134</v>
      </c>
      <c r="D65" s="432"/>
      <c r="E65" s="434"/>
      <c r="F65" s="439"/>
      <c r="G65" s="446">
        <f t="shared" si="9"/>
        <v>0</v>
      </c>
      <c r="H65" s="447">
        <f t="shared" si="8"/>
        <v>0</v>
      </c>
    </row>
    <row r="66" spans="2:8" s="23" customFormat="1" x14ac:dyDescent="0.2">
      <c r="B66" s="441"/>
      <c r="C66" s="431" t="s">
        <v>135</v>
      </c>
      <c r="D66" s="432"/>
      <c r="E66" s="434"/>
      <c r="F66" s="439"/>
      <c r="G66" s="446">
        <f t="shared" si="9"/>
        <v>0</v>
      </c>
      <c r="H66" s="447">
        <f t="shared" si="8"/>
        <v>0</v>
      </c>
    </row>
    <row r="67" spans="2:8" s="23" customFormat="1" x14ac:dyDescent="0.2">
      <c r="B67" s="441"/>
      <c r="C67" s="431"/>
      <c r="D67" s="432"/>
      <c r="E67" s="434"/>
      <c r="F67" s="439"/>
      <c r="G67" s="434"/>
      <c r="H67" s="443"/>
    </row>
    <row r="68" spans="2:8" s="23" customFormat="1" x14ac:dyDescent="0.2">
      <c r="B68" s="441" t="s">
        <v>105</v>
      </c>
      <c r="C68" s="431" t="s">
        <v>127</v>
      </c>
      <c r="D68" s="432"/>
      <c r="E68" s="434"/>
      <c r="F68" s="439"/>
      <c r="G68" s="446">
        <f t="shared" ref="G68:G76" si="10">E68*F68/100</f>
        <v>0</v>
      </c>
      <c r="H68" s="447">
        <f t="shared" si="8"/>
        <v>0</v>
      </c>
    </row>
    <row r="69" spans="2:8" s="23" customFormat="1" x14ac:dyDescent="0.2">
      <c r="B69" s="441"/>
      <c r="C69" s="431" t="s">
        <v>128</v>
      </c>
      <c r="D69" s="432"/>
      <c r="E69" s="434"/>
      <c r="F69" s="439"/>
      <c r="G69" s="446">
        <f t="shared" si="10"/>
        <v>0</v>
      </c>
      <c r="H69" s="447">
        <f t="shared" si="8"/>
        <v>0</v>
      </c>
    </row>
    <row r="70" spans="2:8" s="23" customFormat="1" x14ac:dyDescent="0.2">
      <c r="B70" s="441"/>
      <c r="C70" s="431" t="s">
        <v>129</v>
      </c>
      <c r="D70" s="432"/>
      <c r="E70" s="434"/>
      <c r="F70" s="439"/>
      <c r="G70" s="446">
        <f t="shared" si="10"/>
        <v>0</v>
      </c>
      <c r="H70" s="447">
        <f t="shared" si="8"/>
        <v>0</v>
      </c>
    </row>
    <row r="71" spans="2:8" s="23" customFormat="1" x14ac:dyDescent="0.2">
      <c r="B71" s="441"/>
      <c r="C71" s="431" t="s">
        <v>130</v>
      </c>
      <c r="D71" s="432"/>
      <c r="E71" s="434"/>
      <c r="F71" s="439"/>
      <c r="G71" s="446">
        <f t="shared" si="10"/>
        <v>0</v>
      </c>
      <c r="H71" s="447">
        <f t="shared" si="8"/>
        <v>0</v>
      </c>
    </row>
    <row r="72" spans="2:8" s="23" customFormat="1" x14ac:dyDescent="0.2">
      <c r="B72" s="441"/>
      <c r="C72" s="431" t="s">
        <v>131</v>
      </c>
      <c r="D72" s="432"/>
      <c r="E72" s="434"/>
      <c r="F72" s="439"/>
      <c r="G72" s="446">
        <f t="shared" si="10"/>
        <v>0</v>
      </c>
      <c r="H72" s="447">
        <f t="shared" si="8"/>
        <v>0</v>
      </c>
    </row>
    <row r="73" spans="2:8" s="23" customFormat="1" x14ac:dyDescent="0.2">
      <c r="B73" s="441"/>
      <c r="C73" s="431" t="s">
        <v>132</v>
      </c>
      <c r="D73" s="432"/>
      <c r="E73" s="434"/>
      <c r="F73" s="439"/>
      <c r="G73" s="446">
        <f t="shared" si="10"/>
        <v>0</v>
      </c>
      <c r="H73" s="447">
        <f t="shared" si="8"/>
        <v>0</v>
      </c>
    </row>
    <row r="74" spans="2:8" s="23" customFormat="1" x14ac:dyDescent="0.2">
      <c r="B74" s="441"/>
      <c r="C74" s="431" t="s">
        <v>133</v>
      </c>
      <c r="D74" s="432"/>
      <c r="E74" s="434"/>
      <c r="F74" s="439"/>
      <c r="G74" s="446">
        <f t="shared" si="10"/>
        <v>0</v>
      </c>
      <c r="H74" s="447">
        <f t="shared" si="8"/>
        <v>0</v>
      </c>
    </row>
    <row r="75" spans="2:8" s="23" customFormat="1" x14ac:dyDescent="0.2">
      <c r="B75" s="441"/>
      <c r="C75" s="431" t="s">
        <v>134</v>
      </c>
      <c r="D75" s="432"/>
      <c r="E75" s="434"/>
      <c r="F75" s="439"/>
      <c r="G75" s="446">
        <f t="shared" si="10"/>
        <v>0</v>
      </c>
      <c r="H75" s="447">
        <f t="shared" si="8"/>
        <v>0</v>
      </c>
    </row>
    <row r="76" spans="2:8" s="23" customFormat="1" x14ac:dyDescent="0.2">
      <c r="B76" s="441"/>
      <c r="C76" s="431" t="s">
        <v>135</v>
      </c>
      <c r="D76" s="432"/>
      <c r="E76" s="434"/>
      <c r="F76" s="439"/>
      <c r="G76" s="446">
        <f t="shared" si="10"/>
        <v>0</v>
      </c>
      <c r="H76" s="447">
        <f t="shared" si="8"/>
        <v>0</v>
      </c>
    </row>
    <row r="77" spans="2:8" s="23" customFormat="1" x14ac:dyDescent="0.2">
      <c r="B77" s="441"/>
      <c r="C77" s="431"/>
      <c r="D77" s="432"/>
      <c r="E77" s="434"/>
      <c r="F77" s="439"/>
      <c r="G77" s="434"/>
      <c r="H77" s="443"/>
    </row>
    <row r="78" spans="2:8" s="23" customFormat="1" x14ac:dyDescent="0.2">
      <c r="B78" s="441" t="s">
        <v>106</v>
      </c>
      <c r="C78" s="431" t="s">
        <v>127</v>
      </c>
      <c r="D78" s="432"/>
      <c r="E78" s="434"/>
      <c r="F78" s="439"/>
      <c r="G78" s="446">
        <f t="shared" ref="G78:G86" si="11">E78*F78/100</f>
        <v>0</v>
      </c>
      <c r="H78" s="447">
        <f t="shared" si="8"/>
        <v>0</v>
      </c>
    </row>
    <row r="79" spans="2:8" s="23" customFormat="1" x14ac:dyDescent="0.2">
      <c r="B79" s="441"/>
      <c r="C79" s="431" t="s">
        <v>128</v>
      </c>
      <c r="D79" s="432"/>
      <c r="E79" s="434"/>
      <c r="F79" s="439"/>
      <c r="G79" s="446">
        <f t="shared" si="11"/>
        <v>0</v>
      </c>
      <c r="H79" s="447">
        <f t="shared" si="8"/>
        <v>0</v>
      </c>
    </row>
    <row r="80" spans="2:8" s="23" customFormat="1" x14ac:dyDescent="0.2">
      <c r="B80" s="441"/>
      <c r="C80" s="431" t="s">
        <v>129</v>
      </c>
      <c r="D80" s="432"/>
      <c r="E80" s="434"/>
      <c r="F80" s="439"/>
      <c r="G80" s="446">
        <f t="shared" si="11"/>
        <v>0</v>
      </c>
      <c r="H80" s="447">
        <f t="shared" si="8"/>
        <v>0</v>
      </c>
    </row>
    <row r="81" spans="2:8" s="23" customFormat="1" x14ac:dyDescent="0.2">
      <c r="B81" s="441"/>
      <c r="C81" s="431" t="s">
        <v>130</v>
      </c>
      <c r="D81" s="432"/>
      <c r="E81" s="434"/>
      <c r="F81" s="439"/>
      <c r="G81" s="446">
        <f t="shared" si="11"/>
        <v>0</v>
      </c>
      <c r="H81" s="447">
        <f t="shared" si="8"/>
        <v>0</v>
      </c>
    </row>
    <row r="82" spans="2:8" s="23" customFormat="1" x14ac:dyDescent="0.2">
      <c r="B82" s="441"/>
      <c r="C82" s="431" t="s">
        <v>131</v>
      </c>
      <c r="D82" s="432"/>
      <c r="E82" s="434"/>
      <c r="F82" s="439"/>
      <c r="G82" s="446">
        <f t="shared" si="11"/>
        <v>0</v>
      </c>
      <c r="H82" s="447">
        <f t="shared" si="8"/>
        <v>0</v>
      </c>
    </row>
    <row r="83" spans="2:8" s="23" customFormat="1" x14ac:dyDescent="0.2">
      <c r="B83" s="441"/>
      <c r="C83" s="431" t="s">
        <v>132</v>
      </c>
      <c r="D83" s="432"/>
      <c r="E83" s="434"/>
      <c r="F83" s="439"/>
      <c r="G83" s="446">
        <f t="shared" si="11"/>
        <v>0</v>
      </c>
      <c r="H83" s="447">
        <f t="shared" si="8"/>
        <v>0</v>
      </c>
    </row>
    <row r="84" spans="2:8" s="23" customFormat="1" x14ac:dyDescent="0.2">
      <c r="B84" s="441"/>
      <c r="C84" s="431" t="s">
        <v>133</v>
      </c>
      <c r="D84" s="432"/>
      <c r="E84" s="434"/>
      <c r="F84" s="439"/>
      <c r="G84" s="446">
        <f t="shared" si="11"/>
        <v>0</v>
      </c>
      <c r="H84" s="447">
        <f t="shared" si="8"/>
        <v>0</v>
      </c>
    </row>
    <row r="85" spans="2:8" s="23" customFormat="1" x14ac:dyDescent="0.2">
      <c r="B85" s="441"/>
      <c r="C85" s="431" t="s">
        <v>134</v>
      </c>
      <c r="D85" s="432"/>
      <c r="E85" s="434"/>
      <c r="F85" s="439"/>
      <c r="G85" s="446">
        <f t="shared" si="11"/>
        <v>0</v>
      </c>
      <c r="H85" s="447">
        <f t="shared" si="8"/>
        <v>0</v>
      </c>
    </row>
    <row r="86" spans="2:8" ht="13.5" thickBot="1" x14ac:dyDescent="0.25">
      <c r="B86" s="297"/>
      <c r="C86" s="437" t="s">
        <v>135</v>
      </c>
      <c r="D86" s="440"/>
      <c r="E86" s="440"/>
      <c r="F86" s="438"/>
      <c r="G86" s="336">
        <f t="shared" si="11"/>
        <v>0</v>
      </c>
      <c r="H86" s="344">
        <f t="shared" si="8"/>
        <v>0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3">
    <mergeCell ref="B3:H3"/>
    <mergeCell ref="B29:H29"/>
    <mergeCell ref="B56:H56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F22"/>
  <sheetViews>
    <sheetView workbookViewId="0"/>
  </sheetViews>
  <sheetFormatPr defaultRowHeight="15" customHeight="1" x14ac:dyDescent="0.2"/>
  <cols>
    <col min="2" max="2" width="25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242</v>
      </c>
      <c r="C3" t="s">
        <v>860</v>
      </c>
    </row>
    <row r="5" spans="2:6" ht="15" customHeight="1" x14ac:dyDescent="0.2">
      <c r="B5" s="1033" t="s">
        <v>376</v>
      </c>
      <c r="C5" s="1058" t="s">
        <v>106</v>
      </c>
      <c r="D5" s="1058"/>
      <c r="E5" s="1058"/>
      <c r="F5" s="1032"/>
    </row>
    <row r="6" spans="2:6" ht="15" customHeight="1" x14ac:dyDescent="0.2">
      <c r="B6" s="1034"/>
      <c r="C6" s="962" t="s">
        <v>78</v>
      </c>
      <c r="D6" s="1059" t="s">
        <v>79</v>
      </c>
      <c r="E6" s="1059"/>
      <c r="F6" s="963" t="s">
        <v>80</v>
      </c>
    </row>
    <row r="7" spans="2:6" ht="15" customHeight="1" x14ac:dyDescent="0.2">
      <c r="B7" s="1034"/>
      <c r="C7" s="1060" t="s">
        <v>759</v>
      </c>
      <c r="D7" s="1034"/>
      <c r="E7" s="706" t="s">
        <v>82</v>
      </c>
      <c r="F7" s="963" t="s">
        <v>759</v>
      </c>
    </row>
    <row r="8" spans="2:6" ht="15" customHeight="1" x14ac:dyDescent="0.2">
      <c r="B8" s="707" t="str">
        <f>Index!$B$4</f>
        <v>England</v>
      </c>
      <c r="C8" s="708">
        <f>'Section 8 data country'!$C$26</f>
        <v>4.234</v>
      </c>
      <c r="D8" s="268">
        <f>'Section 8 data country'!$D$26</f>
        <v>273.7048505593342</v>
      </c>
      <c r="E8" s="209">
        <f>'Section 8 data country'!$E$26</f>
        <v>1.8212735686694925</v>
      </c>
      <c r="F8" s="269">
        <f>SUM(C8,D8)</f>
        <v>277.93885055933418</v>
      </c>
    </row>
    <row r="9" spans="2:6" ht="15" customHeight="1" x14ac:dyDescent="0.2">
      <c r="B9" s="710" t="s">
        <v>286</v>
      </c>
      <c r="C9" s="711">
        <f>'Section 8 data country'!$C$27</f>
        <v>0.38700000000000001</v>
      </c>
      <c r="D9" s="712">
        <f>'Section 8 data country'!$D$27</f>
        <v>17.459329751634701</v>
      </c>
      <c r="E9" s="214">
        <f>'Section 8 data country'!$E$27</f>
        <v>6.6761263737734602</v>
      </c>
      <c r="F9" s="713">
        <f t="shared" ref="F9:F22" si="0">SUM(C9,D9)</f>
        <v>17.846329751634702</v>
      </c>
    </row>
    <row r="10" spans="2:6" ht="15" customHeight="1" x14ac:dyDescent="0.2">
      <c r="B10" s="710" t="s">
        <v>298</v>
      </c>
      <c r="C10" s="711">
        <f>'Section 8 data country'!$C$28</f>
        <v>2.8000000000000001E-2</v>
      </c>
      <c r="D10" s="712">
        <f>'Section 8 data country'!$D$28</f>
        <v>25.305731092109902</v>
      </c>
      <c r="E10" s="214">
        <f>'Section 8 data country'!$E$28</f>
        <v>5.6820514049774404</v>
      </c>
      <c r="F10" s="713">
        <f t="shared" si="0"/>
        <v>25.3337310921099</v>
      </c>
    </row>
    <row r="11" spans="2:6" ht="15" customHeight="1" x14ac:dyDescent="0.2">
      <c r="B11" s="710" t="s">
        <v>287</v>
      </c>
      <c r="C11" s="711">
        <f>'Section 8 data country'!$C$29</f>
        <v>0.40100000000000002</v>
      </c>
      <c r="D11" s="712">
        <f>'Section 8 data country'!$D$29</f>
        <v>28.494523067047098</v>
      </c>
      <c r="E11" s="214">
        <f>'Section 8 data country'!$E$29</f>
        <v>6.2958932811420398</v>
      </c>
      <c r="F11" s="713">
        <f t="shared" si="0"/>
        <v>28.895523067047097</v>
      </c>
    </row>
    <row r="12" spans="2:6" ht="15" customHeight="1" x14ac:dyDescent="0.2">
      <c r="B12" s="710" t="s">
        <v>288</v>
      </c>
      <c r="C12" s="711">
        <f>'Section 8 data country'!$C$30</f>
        <v>0.157</v>
      </c>
      <c r="D12" s="712">
        <f>'Section 8 data country'!$D$30</f>
        <v>11.2695117076226</v>
      </c>
      <c r="E12" s="214">
        <f>'Section 8 data country'!$E$30</f>
        <v>9.6930177338276593</v>
      </c>
      <c r="F12" s="713">
        <f t="shared" si="0"/>
        <v>11.4265117076226</v>
      </c>
    </row>
    <row r="13" spans="2:6" ht="15" customHeight="1" x14ac:dyDescent="0.2">
      <c r="B13" s="710" t="s">
        <v>301</v>
      </c>
      <c r="C13" s="711">
        <f>'Section 8 data country'!$C$31</f>
        <v>5.6000000000000001E-2</v>
      </c>
      <c r="D13" s="712">
        <f>'Section 8 data country'!$D$31</f>
        <v>5.7183891987923099</v>
      </c>
      <c r="E13" s="214">
        <f>'Section 8 data country'!$E$31</f>
        <v>16.136205282266101</v>
      </c>
      <c r="F13" s="713">
        <f t="shared" si="0"/>
        <v>5.7743891987923099</v>
      </c>
    </row>
    <row r="14" spans="2:6" ht="15" customHeight="1" x14ac:dyDescent="0.2">
      <c r="B14" s="710" t="s">
        <v>302</v>
      </c>
      <c r="C14" s="711">
        <f>'Section 8 data country'!$C$32</f>
        <v>8.9999999999999993E-3</v>
      </c>
      <c r="D14" s="712">
        <f>'Section 8 data country'!$D$32</f>
        <v>7.5571490182585404</v>
      </c>
      <c r="E14" s="214">
        <f>'Section 8 data country'!$E$32</f>
        <v>14.3759087659363</v>
      </c>
      <c r="F14" s="713">
        <f t="shared" si="0"/>
        <v>7.5661490182585407</v>
      </c>
    </row>
    <row r="15" spans="2:6" ht="15" customHeight="1" x14ac:dyDescent="0.2">
      <c r="B15" s="710" t="s">
        <v>303</v>
      </c>
      <c r="C15" s="711">
        <f>'Section 8 data country'!$C$33</f>
        <v>0.127</v>
      </c>
      <c r="D15" s="712">
        <f>'Section 8 data country'!$D$33</f>
        <v>17.2653539002652</v>
      </c>
      <c r="E15" s="214">
        <f>'Section 8 data country'!$E$33</f>
        <v>8.3886922574502591</v>
      </c>
      <c r="F15" s="713">
        <f t="shared" si="0"/>
        <v>17.392353900265199</v>
      </c>
    </row>
    <row r="16" spans="2:6" ht="15" customHeight="1" x14ac:dyDescent="0.2">
      <c r="B16" s="710" t="s">
        <v>304</v>
      </c>
      <c r="C16" s="711">
        <f>'Section 8 data country'!$C$34</f>
        <v>0.26100000000000001</v>
      </c>
      <c r="D16" s="712">
        <f>'Section 8 data country'!$D$34</f>
        <v>11.5522398536169</v>
      </c>
      <c r="E16" s="214">
        <f>'Section 8 data country'!$E$34</f>
        <v>7.7942249433863999</v>
      </c>
      <c r="F16" s="713">
        <f t="shared" si="0"/>
        <v>11.813239853616899</v>
      </c>
    </row>
    <row r="17" spans="2:6" ht="15" customHeight="1" x14ac:dyDescent="0.2">
      <c r="B17" s="710" t="s">
        <v>291</v>
      </c>
      <c r="C17" s="711">
        <f>'Section 8 data country'!$C$35</f>
        <v>0.68300000000000005</v>
      </c>
      <c r="D17" s="712">
        <f>'Section 8 data country'!$D$35</f>
        <v>11.9323942821653</v>
      </c>
      <c r="E17" s="214">
        <f>'Section 8 data country'!$E$35</f>
        <v>11.113093757969899</v>
      </c>
      <c r="F17" s="713">
        <f t="shared" si="0"/>
        <v>12.615394282165299</v>
      </c>
    </row>
    <row r="18" spans="2:6" ht="15" customHeight="1" x14ac:dyDescent="0.2">
      <c r="B18" s="710" t="s">
        <v>292</v>
      </c>
      <c r="C18" s="711">
        <f>'Section 8 data country'!$C$36</f>
        <v>0.307</v>
      </c>
      <c r="D18" s="712">
        <f>'Section 8 data country'!$D$36</f>
        <v>29.750088961079399</v>
      </c>
      <c r="E18" s="214">
        <f>'Section 8 data country'!$E$36</f>
        <v>4.1393519637957903</v>
      </c>
      <c r="F18" s="713">
        <f t="shared" si="0"/>
        <v>30.057088961079398</v>
      </c>
    </row>
    <row r="19" spans="2:6" ht="15" customHeight="1" x14ac:dyDescent="0.2">
      <c r="B19" s="710" t="s">
        <v>293</v>
      </c>
      <c r="C19" s="711">
        <f>'Section 8 data country'!$C$37</f>
        <v>0.05</v>
      </c>
      <c r="D19" s="712">
        <f>'Section 8 data country'!$D$37</f>
        <v>22.2059404978435</v>
      </c>
      <c r="E19" s="214">
        <f>'Section 8 data country'!$E$37</f>
        <v>5.1608519607439396</v>
      </c>
      <c r="F19" s="713">
        <f t="shared" si="0"/>
        <v>22.2559404978435</v>
      </c>
    </row>
    <row r="20" spans="2:6" ht="15" customHeight="1" x14ac:dyDescent="0.2">
      <c r="B20" s="710" t="s">
        <v>294</v>
      </c>
      <c r="C20" s="711">
        <f>'Section 8 data country'!$C$38</f>
        <v>0.28999999999999998</v>
      </c>
      <c r="D20" s="712">
        <f>'Section 8 data country'!$D$38</f>
        <v>29.627121243886798</v>
      </c>
      <c r="E20" s="214">
        <f>'Section 8 data country'!$E$38</f>
        <v>5.2635515489250002</v>
      </c>
      <c r="F20" s="713">
        <f t="shared" si="0"/>
        <v>29.917121243886797</v>
      </c>
    </row>
    <row r="21" spans="2:6" ht="15" customHeight="1" x14ac:dyDescent="0.2">
      <c r="B21" s="710" t="s">
        <v>295</v>
      </c>
      <c r="C21" s="711">
        <f>'Section 8 data country'!$C$39</f>
        <v>1.0249999999999999</v>
      </c>
      <c r="D21" s="712">
        <f>'Section 8 data country'!$D$39</f>
        <v>33.639646942514702</v>
      </c>
      <c r="E21" s="214">
        <f>'Section 8 data country'!$E$39</f>
        <v>5.7477020118280597</v>
      </c>
      <c r="F21" s="713">
        <f t="shared" si="0"/>
        <v>34.6646469425147</v>
      </c>
    </row>
    <row r="22" spans="2:6" ht="15" customHeight="1" x14ac:dyDescent="0.2">
      <c r="B22" s="714" t="s">
        <v>296</v>
      </c>
      <c r="C22" s="715">
        <f>'Section 8 data country'!$C$40</f>
        <v>0.45300000000000001</v>
      </c>
      <c r="D22" s="716">
        <f>'Section 8 data country'!$D$40</f>
        <v>21.9274310424973</v>
      </c>
      <c r="E22" s="717">
        <f>'Section 8 data country'!$E$40</f>
        <v>5.2254768416344204</v>
      </c>
      <c r="F22" s="718">
        <f t="shared" si="0"/>
        <v>22.3804310424973</v>
      </c>
    </row>
  </sheetData>
  <mergeCells count="4">
    <mergeCell ref="B5:B7"/>
    <mergeCell ref="C5:F5"/>
    <mergeCell ref="D6:E6"/>
    <mergeCell ref="C7:D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61A7726-474E-4465-8ACC-8EDF291F6A37}">
            <xm:f>IF($E8&gt;Sheet1!$F$4,1,)</xm:f>
            <x14:dxf>
              <font>
                <color rgb="FF808080"/>
              </font>
            </x14:dxf>
          </x14:cfRule>
          <xm:sqref>D8:F22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Index!$E$86</f>
        <v>25-year softwood forecast</v>
      </c>
    </row>
  </sheetData>
  <hyperlinks>
    <hyperlink ref="A1" location="Index!B60" display="Return to index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244</v>
      </c>
      <c r="C3" t="s">
        <v>496</v>
      </c>
    </row>
    <row r="5" spans="2:6" ht="15" customHeight="1" x14ac:dyDescent="0.2">
      <c r="B5" s="1085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086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86" t="str">
        <f>Index!$B$4</f>
        <v>England</v>
      </c>
      <c r="C7" s="172"/>
      <c r="D7" s="172"/>
      <c r="E7" s="172"/>
      <c r="F7" s="172"/>
    </row>
    <row r="8" spans="2:6" ht="15" customHeight="1" x14ac:dyDescent="0.2">
      <c r="B8" s="42" t="s">
        <v>332</v>
      </c>
      <c r="C8" s="43">
        <f>'Section 9 chart data'!D35</f>
        <v>1357.6379999999999</v>
      </c>
      <c r="D8" s="44">
        <f>'Section 9 chart data'!J35</f>
        <v>2957.9369999999999</v>
      </c>
      <c r="E8" s="148">
        <f>'Section 9 chart data'!K35</f>
        <v>4.9175326735365372</v>
      </c>
      <c r="F8" s="45">
        <f t="shared" ref="F8:F13" si="0">SUM(C8,D8)</f>
        <v>4315.5749999999998</v>
      </c>
    </row>
    <row r="9" spans="2:6" ht="15" customHeight="1" x14ac:dyDescent="0.2">
      <c r="B9" s="42" t="s">
        <v>222</v>
      </c>
      <c r="C9" s="43">
        <f>'Section 9 chart data'!D36</f>
        <v>1151.4490000000001</v>
      </c>
      <c r="D9" s="44">
        <f>'Section 9 chart data'!J36</f>
        <v>3264.904</v>
      </c>
      <c r="E9" s="148">
        <f>'Section 9 chart data'!K36</f>
        <v>4.7723267050589984</v>
      </c>
      <c r="F9" s="45">
        <f t="shared" si="0"/>
        <v>4416.3530000000001</v>
      </c>
    </row>
    <row r="10" spans="2:6" ht="15" customHeight="1" x14ac:dyDescent="0.2">
      <c r="B10" s="42" t="s">
        <v>225</v>
      </c>
      <c r="C10" s="43">
        <f>'Section 9 chart data'!D37</f>
        <v>1122.9359999999999</v>
      </c>
      <c r="D10" s="44">
        <f>'Section 9 chart data'!J37</f>
        <v>2956.4490000000001</v>
      </c>
      <c r="E10" s="148">
        <f>'Section 9 chart data'!K37</f>
        <v>5.0877422572868625</v>
      </c>
      <c r="F10" s="45">
        <f t="shared" si="0"/>
        <v>4079.3850000000002</v>
      </c>
    </row>
    <row r="11" spans="2:6" ht="15" customHeight="1" x14ac:dyDescent="0.2">
      <c r="B11" s="42" t="s">
        <v>226</v>
      </c>
      <c r="C11" s="43">
        <f>'Section 9 chart data'!D38</f>
        <v>1146.115</v>
      </c>
      <c r="D11" s="44">
        <f>'Section 9 chart data'!J38</f>
        <v>3052.6990000000001</v>
      </c>
      <c r="E11" s="148">
        <f>'Section 9 chart data'!K38</f>
        <v>5.1812754658331821</v>
      </c>
      <c r="F11" s="45">
        <f t="shared" si="0"/>
        <v>4198.8140000000003</v>
      </c>
    </row>
    <row r="12" spans="2:6" ht="15" customHeight="1" x14ac:dyDescent="0.2">
      <c r="B12" s="42" t="s">
        <v>227</v>
      </c>
      <c r="C12" s="43">
        <f>'Section 9 chart data'!D39</f>
        <v>1094.79</v>
      </c>
      <c r="D12" s="44">
        <f>'Section 9 chart data'!J39</f>
        <v>2910.4050000000002</v>
      </c>
      <c r="E12" s="148">
        <f>'Section 9 chart data'!K39</f>
        <v>5.8810833804531484</v>
      </c>
      <c r="F12" s="45">
        <f t="shared" si="0"/>
        <v>4005.1950000000002</v>
      </c>
    </row>
    <row r="13" spans="2:6" ht="15" customHeight="1" x14ac:dyDescent="0.2">
      <c r="B13" s="46" t="s">
        <v>228</v>
      </c>
      <c r="C13" s="47">
        <f>'Section 9 chart data'!D40</f>
        <v>1100.3589999999999</v>
      </c>
      <c r="D13" s="48">
        <f>'Section 9 chart data'!J40</f>
        <v>2272.7440000000001</v>
      </c>
      <c r="E13" s="149">
        <f>'Section 9 chart data'!K40</f>
        <v>6.3794291254089313</v>
      </c>
      <c r="F13" s="49">
        <f t="shared" si="0"/>
        <v>3373.1030000000001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0E4FDAB-2738-4019-9698-1E4AAC6CB41F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8392F40A-27D8-413E-9F50-E094938B67C9}">
            <xm:f>Sheet1!$D$4</xm:f>
            <xm:f>Sheet1!$E$4</xm:f>
            <x14:dxf>
              <numFmt numFmtId="173" formatCode="&quot;&lt; 1&quot;"/>
            </x14:dxf>
          </x14:cfRule>
          <xm:sqref>C8:D13 F8:F13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9" tint="0.59999389629810485"/>
  </sheetPr>
  <dimension ref="B3:T62"/>
  <sheetViews>
    <sheetView workbookViewId="0">
      <selection activeCell="C9" sqref="C9"/>
    </sheetView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</cols>
  <sheetData>
    <row r="3" spans="2:20" ht="15" customHeight="1" x14ac:dyDescent="0.2">
      <c r="B3" t="s">
        <v>246</v>
      </c>
      <c r="C3" t="s">
        <v>494</v>
      </c>
    </row>
    <row r="5" spans="2:20" ht="15" customHeight="1" x14ac:dyDescent="0.2">
      <c r="B5" s="1087" t="s">
        <v>77</v>
      </c>
      <c r="C5" s="1089" t="s">
        <v>332</v>
      </c>
      <c r="D5" s="1089"/>
      <c r="E5" s="1089"/>
      <c r="F5" s="1089" t="s">
        <v>222</v>
      </c>
      <c r="G5" s="1089"/>
      <c r="H5" s="1089"/>
      <c r="I5" s="1089" t="s">
        <v>225</v>
      </c>
      <c r="J5" s="1089"/>
      <c r="K5" s="1089"/>
      <c r="L5" s="1089" t="s">
        <v>226</v>
      </c>
      <c r="M5" s="1089"/>
      <c r="N5" s="1089"/>
      <c r="O5" s="1089" t="s">
        <v>227</v>
      </c>
      <c r="P5" s="1089"/>
      <c r="Q5" s="1089"/>
      <c r="R5" s="1089" t="s">
        <v>228</v>
      </c>
      <c r="S5" s="1089"/>
      <c r="T5" s="1018"/>
    </row>
    <row r="6" spans="2:20" ht="15" customHeight="1" x14ac:dyDescent="0.2">
      <c r="B6" s="1088"/>
      <c r="C6" s="129" t="s">
        <v>78</v>
      </c>
      <c r="D6" s="1091" t="s">
        <v>79</v>
      </c>
      <c r="E6" s="1091"/>
      <c r="F6" s="129" t="s">
        <v>78</v>
      </c>
      <c r="G6" s="1091" t="s">
        <v>79</v>
      </c>
      <c r="H6" s="1091"/>
      <c r="I6" s="129" t="s">
        <v>78</v>
      </c>
      <c r="J6" s="1091" t="s">
        <v>79</v>
      </c>
      <c r="K6" s="1091"/>
      <c r="L6" s="129" t="s">
        <v>78</v>
      </c>
      <c r="M6" s="1091" t="s">
        <v>79</v>
      </c>
      <c r="N6" s="1091"/>
      <c r="O6" s="129" t="s">
        <v>78</v>
      </c>
      <c r="P6" s="1091" t="s">
        <v>79</v>
      </c>
      <c r="Q6" s="1091"/>
      <c r="R6" s="129" t="s">
        <v>78</v>
      </c>
      <c r="S6" s="1091" t="s">
        <v>79</v>
      </c>
      <c r="T6" s="1013"/>
    </row>
    <row r="7" spans="2:20" ht="30" customHeight="1" x14ac:dyDescent="0.2">
      <c r="B7" s="1088"/>
      <c r="C7" s="1090" t="s">
        <v>326</v>
      </c>
      <c r="D7" s="1090"/>
      <c r="E7" s="151" t="s">
        <v>82</v>
      </c>
      <c r="F7" s="1090" t="s">
        <v>326</v>
      </c>
      <c r="G7" s="1090"/>
      <c r="H7" s="151" t="s">
        <v>82</v>
      </c>
      <c r="I7" s="1090" t="s">
        <v>326</v>
      </c>
      <c r="J7" s="1090"/>
      <c r="K7" s="151" t="s">
        <v>82</v>
      </c>
      <c r="L7" s="1090" t="s">
        <v>326</v>
      </c>
      <c r="M7" s="1090"/>
      <c r="N7" s="151" t="s">
        <v>82</v>
      </c>
      <c r="O7" s="1090" t="s">
        <v>326</v>
      </c>
      <c r="P7" s="1090"/>
      <c r="Q7" s="151" t="s">
        <v>82</v>
      </c>
      <c r="R7" s="1090" t="s">
        <v>326</v>
      </c>
      <c r="S7" s="1090"/>
      <c r="T7" s="152" t="s">
        <v>82</v>
      </c>
    </row>
    <row r="8" spans="2:20" ht="15" customHeight="1" x14ac:dyDescent="0.2">
      <c r="B8" s="186" t="str">
        <f>Index!$B$4</f>
        <v>England</v>
      </c>
      <c r="C8" s="167"/>
      <c r="D8" s="167"/>
      <c r="E8" s="154"/>
      <c r="F8" s="167"/>
      <c r="G8" s="167"/>
      <c r="H8" s="154"/>
      <c r="I8" s="167"/>
      <c r="J8" s="167"/>
      <c r="K8" s="154"/>
      <c r="L8" s="167"/>
      <c r="M8" s="167"/>
      <c r="N8" s="154"/>
      <c r="O8" s="167"/>
      <c r="P8" s="167"/>
      <c r="Q8" s="154"/>
      <c r="R8" s="167"/>
      <c r="S8" s="167"/>
      <c r="T8" s="154"/>
    </row>
    <row r="9" spans="2:20" ht="15" customHeight="1" x14ac:dyDescent="0.2">
      <c r="B9" s="158" t="s">
        <v>92</v>
      </c>
      <c r="C9" s="930">
        <v>1357.6379999999999</v>
      </c>
      <c r="D9" s="930">
        <v>2957.9369999999999</v>
      </c>
      <c r="E9" s="156">
        <v>4.9175326735365372</v>
      </c>
      <c r="F9" s="930">
        <v>1151.4490000000001</v>
      </c>
      <c r="G9" s="930">
        <v>3264.904</v>
      </c>
      <c r="H9" s="156">
        <v>4.7723267050589984</v>
      </c>
      <c r="I9" s="930">
        <v>1122.9359999999999</v>
      </c>
      <c r="J9" s="930">
        <v>2956.4490000000001</v>
      </c>
      <c r="K9" s="156">
        <v>5.0877422572868625</v>
      </c>
      <c r="L9" s="930">
        <v>1146.115</v>
      </c>
      <c r="M9" s="930">
        <v>3052.6990000000001</v>
      </c>
      <c r="N9" s="156">
        <v>5.1812754658331821</v>
      </c>
      <c r="O9" s="930">
        <v>1094.79</v>
      </c>
      <c r="P9" s="930">
        <v>2910.4050000000002</v>
      </c>
      <c r="Q9" s="156">
        <v>5.8810833804531484</v>
      </c>
      <c r="R9" s="930">
        <v>1100.3589999999999</v>
      </c>
      <c r="S9" s="930">
        <v>2272.7440000000001</v>
      </c>
      <c r="T9" s="160">
        <v>6.3794291254089313</v>
      </c>
    </row>
    <row r="10" spans="2:20" ht="15" customHeight="1" x14ac:dyDescent="0.2">
      <c r="B10" s="161" t="s">
        <v>84</v>
      </c>
      <c r="C10" s="931">
        <v>634.81399999999996</v>
      </c>
      <c r="D10" s="931">
        <v>465.49599999999998</v>
      </c>
      <c r="E10" s="155">
        <v>17.598623742541811</v>
      </c>
      <c r="F10" s="931">
        <v>490.27799999999996</v>
      </c>
      <c r="G10" s="931">
        <v>696.39300000000003</v>
      </c>
      <c r="H10" s="155">
        <v>15.826452689960773</v>
      </c>
      <c r="I10" s="931">
        <v>478.76400000000007</v>
      </c>
      <c r="J10" s="931">
        <v>683.83799999999997</v>
      </c>
      <c r="K10" s="155">
        <v>14.482532261827592</v>
      </c>
      <c r="L10" s="931">
        <v>495.99900000000002</v>
      </c>
      <c r="M10" s="931">
        <v>656.79700000000003</v>
      </c>
      <c r="N10" s="155">
        <v>16.201803482928508</v>
      </c>
      <c r="O10" s="931">
        <v>458.39300000000003</v>
      </c>
      <c r="P10" s="931">
        <v>697.48900000000003</v>
      </c>
      <c r="Q10" s="155">
        <v>17.720415264244306</v>
      </c>
      <c r="R10" s="931">
        <v>433.029</v>
      </c>
      <c r="S10" s="931">
        <v>474.54899999999998</v>
      </c>
      <c r="T10" s="163">
        <v>18.726785014799798</v>
      </c>
    </row>
    <row r="11" spans="2:20" ht="15" customHeight="1" x14ac:dyDescent="0.2">
      <c r="B11" s="161" t="s">
        <v>85</v>
      </c>
      <c r="C11" s="931">
        <v>128.60199999999998</v>
      </c>
      <c r="D11" s="931">
        <v>510.495</v>
      </c>
      <c r="E11" s="155">
        <v>10.364287533479445</v>
      </c>
      <c r="F11" s="931">
        <v>122.55900000000001</v>
      </c>
      <c r="G11" s="931">
        <v>527.47500000000002</v>
      </c>
      <c r="H11" s="155">
        <v>9.0663069069945497</v>
      </c>
      <c r="I11" s="931">
        <v>123.711</v>
      </c>
      <c r="J11" s="931">
        <v>631.98099999999999</v>
      </c>
      <c r="K11" s="155">
        <v>9.7934174236422553</v>
      </c>
      <c r="L11" s="931">
        <v>114.34599999999999</v>
      </c>
      <c r="M11" s="931">
        <v>901.94399999999996</v>
      </c>
      <c r="N11" s="155">
        <v>10.119498119950567</v>
      </c>
      <c r="O11" s="931">
        <v>96.797000000000011</v>
      </c>
      <c r="P11" s="931">
        <v>832.30399999999997</v>
      </c>
      <c r="Q11" s="155">
        <v>9.6423204712133046</v>
      </c>
      <c r="R11" s="931">
        <v>94.827999999999989</v>
      </c>
      <c r="S11" s="931">
        <v>777.92</v>
      </c>
      <c r="T11" s="163">
        <v>11.821284502945733</v>
      </c>
    </row>
    <row r="12" spans="2:20" ht="15" customHeight="1" x14ac:dyDescent="0.2">
      <c r="B12" s="161" t="s">
        <v>86</v>
      </c>
      <c r="C12" s="931">
        <v>266.51900000000001</v>
      </c>
      <c r="D12" s="931">
        <v>318.25599999999997</v>
      </c>
      <c r="E12" s="155">
        <v>15.431658646206015</v>
      </c>
      <c r="F12" s="931">
        <v>256.41499999999996</v>
      </c>
      <c r="G12" s="931">
        <v>315.33</v>
      </c>
      <c r="H12" s="155">
        <v>15.073383381731828</v>
      </c>
      <c r="I12" s="931">
        <v>261.47700000000003</v>
      </c>
      <c r="J12" s="931">
        <v>244.32499999999999</v>
      </c>
      <c r="K12" s="155">
        <v>19.694426010432473</v>
      </c>
      <c r="L12" s="931">
        <v>255.84699999999992</v>
      </c>
      <c r="M12" s="931">
        <v>192.161</v>
      </c>
      <c r="N12" s="155">
        <v>22.213391207982284</v>
      </c>
      <c r="O12" s="931">
        <v>274.34600000000006</v>
      </c>
      <c r="P12" s="931">
        <v>146.18299999999999</v>
      </c>
      <c r="Q12" s="155">
        <v>28.133280613360093</v>
      </c>
      <c r="R12" s="931">
        <v>262.63900000000007</v>
      </c>
      <c r="S12" s="931">
        <v>109.232</v>
      </c>
      <c r="T12" s="163">
        <v>28.396266231829777</v>
      </c>
    </row>
    <row r="13" spans="2:20" ht="15" customHeight="1" x14ac:dyDescent="0.2">
      <c r="B13" s="161" t="s">
        <v>87</v>
      </c>
      <c r="C13" s="931">
        <v>113.26499999999999</v>
      </c>
      <c r="D13" s="931">
        <v>265.70499999999998</v>
      </c>
      <c r="E13" s="155">
        <v>12.178852387803255</v>
      </c>
      <c r="F13" s="931">
        <v>66.272000000000006</v>
      </c>
      <c r="G13" s="931">
        <v>331.15100000000001</v>
      </c>
      <c r="H13" s="155">
        <v>16.271291083830963</v>
      </c>
      <c r="I13" s="931">
        <v>43.760000000000005</v>
      </c>
      <c r="J13" s="931">
        <v>386.05700000000002</v>
      </c>
      <c r="K13" s="155">
        <v>18.318358828476192</v>
      </c>
      <c r="L13" s="931">
        <v>50.881999999999998</v>
      </c>
      <c r="M13" s="931">
        <v>446.20100000000002</v>
      </c>
      <c r="N13" s="155">
        <v>12.279285838046167</v>
      </c>
      <c r="O13" s="931">
        <v>35.426000000000002</v>
      </c>
      <c r="P13" s="931">
        <v>454.197</v>
      </c>
      <c r="Q13" s="155">
        <v>15.09956982649409</v>
      </c>
      <c r="R13" s="931">
        <v>55.984000000000002</v>
      </c>
      <c r="S13" s="931">
        <v>246.98</v>
      </c>
      <c r="T13" s="163">
        <v>13.27418321357456</v>
      </c>
    </row>
    <row r="14" spans="2:20" ht="15" customHeight="1" x14ac:dyDescent="0.2">
      <c r="B14" s="161" t="s">
        <v>88</v>
      </c>
      <c r="C14" s="931">
        <v>55.625</v>
      </c>
      <c r="D14" s="931">
        <v>553.47799999999995</v>
      </c>
      <c r="E14" s="155">
        <v>7.6051041942715418</v>
      </c>
      <c r="F14" s="931">
        <v>62.436</v>
      </c>
      <c r="G14" s="931">
        <v>592.05899999999997</v>
      </c>
      <c r="H14" s="155">
        <v>7.2305200131131233</v>
      </c>
      <c r="I14" s="931">
        <v>67.867000000000004</v>
      </c>
      <c r="J14" s="931">
        <v>409.83100000000002</v>
      </c>
      <c r="K14" s="155">
        <v>6.9469774109010869</v>
      </c>
      <c r="L14" s="931">
        <v>56.710999999999999</v>
      </c>
      <c r="M14" s="931">
        <v>326.31799999999998</v>
      </c>
      <c r="N14" s="155">
        <v>7.4437255329426257</v>
      </c>
      <c r="O14" s="931">
        <v>61.542999999999999</v>
      </c>
      <c r="P14" s="931">
        <v>306.90899999999999</v>
      </c>
      <c r="Q14" s="155">
        <v>7.5604553872133815</v>
      </c>
      <c r="R14" s="931">
        <v>64.763000000000005</v>
      </c>
      <c r="S14" s="931">
        <v>189.46100000000001</v>
      </c>
      <c r="T14" s="163">
        <v>8.698584349301079</v>
      </c>
    </row>
    <row r="15" spans="2:20" ht="15" customHeight="1" x14ac:dyDescent="0.2">
      <c r="B15" s="161" t="s">
        <v>89</v>
      </c>
      <c r="C15" s="931">
        <v>63.181999999999995</v>
      </c>
      <c r="D15" s="931">
        <v>440.40899999999999</v>
      </c>
      <c r="E15" s="155">
        <v>15.958757842343976</v>
      </c>
      <c r="F15" s="931">
        <v>68.00200000000001</v>
      </c>
      <c r="G15" s="931">
        <v>361.161</v>
      </c>
      <c r="H15" s="155">
        <v>11.900226751858517</v>
      </c>
      <c r="I15" s="931">
        <v>74.453999999999994</v>
      </c>
      <c r="J15" s="931">
        <v>239.15899999999999</v>
      </c>
      <c r="K15" s="155">
        <v>13.842060509633942</v>
      </c>
      <c r="L15" s="931">
        <v>99.063000000000002</v>
      </c>
      <c r="M15" s="931">
        <v>197.251</v>
      </c>
      <c r="N15" s="155">
        <v>14.676268087239098</v>
      </c>
      <c r="O15" s="931">
        <v>114.209</v>
      </c>
      <c r="P15" s="931">
        <v>173.851</v>
      </c>
      <c r="Q15" s="155">
        <v>13.593300838230569</v>
      </c>
      <c r="R15" s="931">
        <v>128.69800000000001</v>
      </c>
      <c r="S15" s="931">
        <v>163.316</v>
      </c>
      <c r="T15" s="163">
        <v>19.161044793600759</v>
      </c>
    </row>
    <row r="16" spans="2:20" ht="15" customHeight="1" x14ac:dyDescent="0.2">
      <c r="B16" s="161" t="s">
        <v>90</v>
      </c>
      <c r="C16" s="931">
        <v>50.473999999999997</v>
      </c>
      <c r="D16" s="931">
        <v>48.311999999999998</v>
      </c>
      <c r="E16" s="155">
        <v>40.64149091637443</v>
      </c>
      <c r="F16" s="931">
        <v>39.236999999999995</v>
      </c>
      <c r="G16" s="931">
        <v>36.706000000000003</v>
      </c>
      <c r="H16" s="155">
        <v>48.716809410195289</v>
      </c>
      <c r="I16" s="931">
        <v>34.271000000000001</v>
      </c>
      <c r="J16" s="931">
        <v>49.046999999999997</v>
      </c>
      <c r="K16" s="155">
        <v>37.133856755261817</v>
      </c>
      <c r="L16" s="931">
        <v>22.553000000000001</v>
      </c>
      <c r="M16" s="931">
        <v>40.027999999999999</v>
      </c>
      <c r="N16" s="155">
        <v>42.689795254575863</v>
      </c>
      <c r="O16" s="931">
        <v>16.981000000000002</v>
      </c>
      <c r="P16" s="931">
        <v>21.263999999999999</v>
      </c>
      <c r="Q16" s="155">
        <v>50.672797117315056</v>
      </c>
      <c r="R16" s="931">
        <v>4.6109999999999998</v>
      </c>
      <c r="S16" s="931">
        <v>79.825999999999993</v>
      </c>
      <c r="T16" s="163">
        <v>42.390768401698281</v>
      </c>
    </row>
    <row r="17" spans="2:20" ht="15" customHeight="1" x14ac:dyDescent="0.2">
      <c r="B17" s="164" t="s">
        <v>91</v>
      </c>
      <c r="C17" s="932">
        <v>45.151000000000003</v>
      </c>
      <c r="D17" s="932">
        <v>353.048</v>
      </c>
      <c r="E17" s="157">
        <v>12.603577020127425</v>
      </c>
      <c r="F17" s="932">
        <v>46.250999999999998</v>
      </c>
      <c r="G17" s="932">
        <v>404.16800000000001</v>
      </c>
      <c r="H17" s="157">
        <v>12.363245693218294</v>
      </c>
      <c r="I17" s="932">
        <v>38.637</v>
      </c>
      <c r="J17" s="932">
        <v>306.024</v>
      </c>
      <c r="K17" s="157">
        <v>12.341730892854001</v>
      </c>
      <c r="L17" s="932">
        <v>50.713999999999999</v>
      </c>
      <c r="M17" s="932">
        <v>290.57799999999997</v>
      </c>
      <c r="N17" s="157">
        <v>12.341224500730885</v>
      </c>
      <c r="O17" s="932">
        <v>37.094999999999999</v>
      </c>
      <c r="P17" s="932">
        <v>271.84699999999998</v>
      </c>
      <c r="Q17" s="157">
        <v>17.017862564145453</v>
      </c>
      <c r="R17" s="932">
        <v>55.804999999999993</v>
      </c>
      <c r="S17" s="932">
        <v>224.69800000000001</v>
      </c>
      <c r="T17" s="166">
        <v>18.296488297265853</v>
      </c>
    </row>
    <row r="20" spans="2:20" ht="15" customHeight="1" x14ac:dyDescent="0.2">
      <c r="B20" s="1087" t="s">
        <v>77</v>
      </c>
      <c r="C20" s="1089" t="s">
        <v>332</v>
      </c>
      <c r="D20" s="1089"/>
      <c r="E20" s="1089"/>
      <c r="F20" s="1089" t="s">
        <v>222</v>
      </c>
      <c r="G20" s="1089"/>
      <c r="H20" s="1018"/>
    </row>
    <row r="21" spans="2:20" ht="15" customHeight="1" x14ac:dyDescent="0.2">
      <c r="B21" s="1088"/>
      <c r="C21" s="277" t="s">
        <v>78</v>
      </c>
      <c r="D21" s="1091" t="s">
        <v>79</v>
      </c>
      <c r="E21" s="1091"/>
      <c r="F21" s="277" t="s">
        <v>78</v>
      </c>
      <c r="G21" s="1091" t="s">
        <v>79</v>
      </c>
      <c r="H21" s="1013"/>
    </row>
    <row r="22" spans="2:20" ht="30" customHeight="1" x14ac:dyDescent="0.2">
      <c r="B22" s="1088"/>
      <c r="C22" s="1090" t="s">
        <v>326</v>
      </c>
      <c r="D22" s="1090"/>
      <c r="E22" s="151" t="s">
        <v>82</v>
      </c>
      <c r="F22" s="1090" t="s">
        <v>326</v>
      </c>
      <c r="G22" s="1090"/>
      <c r="H22" s="152" t="s">
        <v>82</v>
      </c>
    </row>
    <row r="23" spans="2:20" ht="15" customHeight="1" x14ac:dyDescent="0.2">
      <c r="B23" s="186" t="str">
        <f>Index!$B$4</f>
        <v>England</v>
      </c>
      <c r="C23" s="167"/>
      <c r="D23" s="167"/>
      <c r="E23" s="154"/>
      <c r="F23" s="167"/>
      <c r="G23" s="167"/>
      <c r="H23" s="154"/>
    </row>
    <row r="24" spans="2:20" ht="15" customHeight="1" x14ac:dyDescent="0.2">
      <c r="B24" s="158" t="s">
        <v>92</v>
      </c>
      <c r="C24" s="159">
        <v>1357.6379999999999</v>
      </c>
      <c r="D24" s="159">
        <v>2957.9369999999999</v>
      </c>
      <c r="E24" s="156">
        <v>4.9175326735365372</v>
      </c>
      <c r="F24" s="159">
        <v>1151.4490000000001</v>
      </c>
      <c r="G24" s="159">
        <v>3264.904</v>
      </c>
      <c r="H24" s="160">
        <v>4.7723267050589984</v>
      </c>
    </row>
    <row r="25" spans="2:20" ht="15" customHeight="1" x14ac:dyDescent="0.2">
      <c r="B25" s="161" t="s">
        <v>84</v>
      </c>
      <c r="C25" s="162">
        <v>634.81399999999996</v>
      </c>
      <c r="D25" s="162">
        <v>465.49599999999998</v>
      </c>
      <c r="E25" s="155">
        <v>17.598623742541811</v>
      </c>
      <c r="F25" s="162">
        <v>490.27799999999996</v>
      </c>
      <c r="G25" s="162">
        <v>696.39300000000003</v>
      </c>
      <c r="H25" s="163">
        <v>15.826452689960773</v>
      </c>
    </row>
    <row r="26" spans="2:20" ht="15" customHeight="1" x14ac:dyDescent="0.2">
      <c r="B26" s="161" t="s">
        <v>85</v>
      </c>
      <c r="C26" s="162">
        <v>128.60199999999998</v>
      </c>
      <c r="D26" s="162">
        <v>510.495</v>
      </c>
      <c r="E26" s="155">
        <v>10.364287533479445</v>
      </c>
      <c r="F26" s="162">
        <v>122.55900000000001</v>
      </c>
      <c r="G26" s="162">
        <v>527.47500000000002</v>
      </c>
      <c r="H26" s="163">
        <v>9.0663069069945497</v>
      </c>
    </row>
    <row r="27" spans="2:20" ht="15" customHeight="1" x14ac:dyDescent="0.2">
      <c r="B27" s="161" t="s">
        <v>86</v>
      </c>
      <c r="C27" s="162">
        <v>266.51900000000001</v>
      </c>
      <c r="D27" s="162">
        <v>318.25599999999997</v>
      </c>
      <c r="E27" s="155">
        <v>15.431658646206015</v>
      </c>
      <c r="F27" s="162">
        <v>256.41499999999996</v>
      </c>
      <c r="G27" s="162">
        <v>315.33</v>
      </c>
      <c r="H27" s="163">
        <v>15.073383381731828</v>
      </c>
    </row>
    <row r="28" spans="2:20" ht="15" customHeight="1" x14ac:dyDescent="0.2">
      <c r="B28" s="161" t="s">
        <v>87</v>
      </c>
      <c r="C28" s="162">
        <v>113.26499999999999</v>
      </c>
      <c r="D28" s="162">
        <v>265.70499999999998</v>
      </c>
      <c r="E28" s="155">
        <v>12.178852387803255</v>
      </c>
      <c r="F28" s="162">
        <v>66.272000000000006</v>
      </c>
      <c r="G28" s="162">
        <v>331.15100000000001</v>
      </c>
      <c r="H28" s="163">
        <v>16.271291083830963</v>
      </c>
    </row>
    <row r="29" spans="2:20" ht="15" customHeight="1" x14ac:dyDescent="0.2">
      <c r="B29" s="161" t="s">
        <v>88</v>
      </c>
      <c r="C29" s="162">
        <v>55.625</v>
      </c>
      <c r="D29" s="162">
        <v>553.47799999999995</v>
      </c>
      <c r="E29" s="155">
        <v>7.6051041942715418</v>
      </c>
      <c r="F29" s="162">
        <v>62.436</v>
      </c>
      <c r="G29" s="162">
        <v>592.05899999999997</v>
      </c>
      <c r="H29" s="163">
        <v>7.2305200131131233</v>
      </c>
    </row>
    <row r="30" spans="2:20" ht="15" customHeight="1" x14ac:dyDescent="0.2">
      <c r="B30" s="161" t="s">
        <v>89</v>
      </c>
      <c r="C30" s="162">
        <v>63.181999999999995</v>
      </c>
      <c r="D30" s="162">
        <v>440.40899999999999</v>
      </c>
      <c r="E30" s="155">
        <v>15.958757842343976</v>
      </c>
      <c r="F30" s="162">
        <v>68.00200000000001</v>
      </c>
      <c r="G30" s="162">
        <v>361.161</v>
      </c>
      <c r="H30" s="163">
        <v>11.900226751858517</v>
      </c>
    </row>
    <row r="31" spans="2:20" ht="15" customHeight="1" x14ac:dyDescent="0.2">
      <c r="B31" s="161" t="s">
        <v>90</v>
      </c>
      <c r="C31" s="162">
        <v>50.473999999999997</v>
      </c>
      <c r="D31" s="162">
        <v>48.311999999999998</v>
      </c>
      <c r="E31" s="155">
        <v>40.64149091637443</v>
      </c>
      <c r="F31" s="162">
        <v>39.236999999999995</v>
      </c>
      <c r="G31" s="162">
        <v>36.706000000000003</v>
      </c>
      <c r="H31" s="163">
        <v>48.716809410195289</v>
      </c>
    </row>
    <row r="32" spans="2:20" ht="15" customHeight="1" x14ac:dyDescent="0.2">
      <c r="B32" s="164" t="s">
        <v>91</v>
      </c>
      <c r="C32" s="165">
        <v>45.151000000000003</v>
      </c>
      <c r="D32" s="165">
        <v>353.048</v>
      </c>
      <c r="E32" s="157">
        <v>12.603577020127425</v>
      </c>
      <c r="F32" s="165">
        <v>46.250999999999998</v>
      </c>
      <c r="G32" s="165">
        <v>404.16800000000001</v>
      </c>
      <c r="H32" s="166">
        <v>12.363245693218294</v>
      </c>
    </row>
    <row r="35" spans="2:8" ht="15" customHeight="1" x14ac:dyDescent="0.2">
      <c r="B35" s="1087" t="s">
        <v>77</v>
      </c>
      <c r="C35" s="1089" t="s">
        <v>225</v>
      </c>
      <c r="D35" s="1089"/>
      <c r="E35" s="1089"/>
      <c r="F35" s="1089" t="s">
        <v>226</v>
      </c>
      <c r="G35" s="1089"/>
      <c r="H35" s="1018"/>
    </row>
    <row r="36" spans="2:8" ht="15" customHeight="1" x14ac:dyDescent="0.2">
      <c r="B36" s="1088"/>
      <c r="C36" s="277" t="s">
        <v>78</v>
      </c>
      <c r="D36" s="1091" t="s">
        <v>79</v>
      </c>
      <c r="E36" s="1091"/>
      <c r="F36" s="277" t="s">
        <v>78</v>
      </c>
      <c r="G36" s="1091" t="s">
        <v>79</v>
      </c>
      <c r="H36" s="1013"/>
    </row>
    <row r="37" spans="2:8" ht="30" customHeight="1" x14ac:dyDescent="0.2">
      <c r="B37" s="1088"/>
      <c r="C37" s="1090" t="s">
        <v>326</v>
      </c>
      <c r="D37" s="1090"/>
      <c r="E37" s="151" t="s">
        <v>82</v>
      </c>
      <c r="F37" s="1090" t="s">
        <v>326</v>
      </c>
      <c r="G37" s="1090"/>
      <c r="H37" s="152" t="s">
        <v>82</v>
      </c>
    </row>
    <row r="38" spans="2:8" ht="15" customHeight="1" x14ac:dyDescent="0.2">
      <c r="B38" s="186" t="str">
        <f>Index!$B$4</f>
        <v>England</v>
      </c>
      <c r="C38" s="167"/>
      <c r="D38" s="167"/>
      <c r="E38" s="154"/>
      <c r="F38" s="167"/>
      <c r="G38" s="167"/>
      <c r="H38" s="154"/>
    </row>
    <row r="39" spans="2:8" ht="15" customHeight="1" x14ac:dyDescent="0.2">
      <c r="B39" s="158" t="s">
        <v>92</v>
      </c>
      <c r="C39" s="159">
        <v>1122.9359999999999</v>
      </c>
      <c r="D39" s="159">
        <v>2956.4490000000001</v>
      </c>
      <c r="E39" s="156">
        <v>5.0877422572868625</v>
      </c>
      <c r="F39" s="159">
        <v>1146.115</v>
      </c>
      <c r="G39" s="159">
        <v>3052.6990000000001</v>
      </c>
      <c r="H39" s="160">
        <v>5.1812754658331821</v>
      </c>
    </row>
    <row r="40" spans="2:8" ht="15" customHeight="1" x14ac:dyDescent="0.2">
      <c r="B40" s="161" t="s">
        <v>84</v>
      </c>
      <c r="C40" s="162">
        <v>478.76400000000007</v>
      </c>
      <c r="D40" s="162">
        <v>683.83799999999997</v>
      </c>
      <c r="E40" s="155">
        <v>14.482532261827592</v>
      </c>
      <c r="F40" s="162">
        <v>495.99900000000002</v>
      </c>
      <c r="G40" s="162">
        <v>656.79700000000003</v>
      </c>
      <c r="H40" s="163">
        <v>16.201803482928508</v>
      </c>
    </row>
    <row r="41" spans="2:8" ht="15" customHeight="1" x14ac:dyDescent="0.2">
      <c r="B41" s="161" t="s">
        <v>85</v>
      </c>
      <c r="C41" s="162">
        <v>123.711</v>
      </c>
      <c r="D41" s="162">
        <v>631.98099999999999</v>
      </c>
      <c r="E41" s="155">
        <v>9.7934174236422553</v>
      </c>
      <c r="F41" s="162">
        <v>114.34599999999999</v>
      </c>
      <c r="G41" s="162">
        <v>901.94399999999996</v>
      </c>
      <c r="H41" s="163">
        <v>10.119498119950567</v>
      </c>
    </row>
    <row r="42" spans="2:8" ht="15" customHeight="1" x14ac:dyDescent="0.2">
      <c r="B42" s="161" t="s">
        <v>86</v>
      </c>
      <c r="C42" s="162">
        <v>261.47700000000003</v>
      </c>
      <c r="D42" s="162">
        <v>244.32499999999999</v>
      </c>
      <c r="E42" s="155">
        <v>19.694426010432473</v>
      </c>
      <c r="F42" s="162">
        <v>255.84699999999992</v>
      </c>
      <c r="G42" s="162">
        <v>192.161</v>
      </c>
      <c r="H42" s="163">
        <v>22.213391207982284</v>
      </c>
    </row>
    <row r="43" spans="2:8" ht="15" customHeight="1" x14ac:dyDescent="0.2">
      <c r="B43" s="161" t="s">
        <v>87</v>
      </c>
      <c r="C43" s="162">
        <v>43.760000000000005</v>
      </c>
      <c r="D43" s="162">
        <v>386.05700000000002</v>
      </c>
      <c r="E43" s="155">
        <v>18.318358828476192</v>
      </c>
      <c r="F43" s="162">
        <v>50.881999999999998</v>
      </c>
      <c r="G43" s="162">
        <v>446.20100000000002</v>
      </c>
      <c r="H43" s="163">
        <v>12.279285838046167</v>
      </c>
    </row>
    <row r="44" spans="2:8" ht="15" customHeight="1" x14ac:dyDescent="0.2">
      <c r="B44" s="161" t="s">
        <v>88</v>
      </c>
      <c r="C44" s="162">
        <v>67.867000000000004</v>
      </c>
      <c r="D44" s="162">
        <v>409.83100000000002</v>
      </c>
      <c r="E44" s="155">
        <v>6.9469774109010869</v>
      </c>
      <c r="F44" s="162">
        <v>56.710999999999999</v>
      </c>
      <c r="G44" s="162">
        <v>326.31799999999998</v>
      </c>
      <c r="H44" s="163">
        <v>7.4437255329426257</v>
      </c>
    </row>
    <row r="45" spans="2:8" ht="15" customHeight="1" x14ac:dyDescent="0.2">
      <c r="B45" s="161" t="s">
        <v>89</v>
      </c>
      <c r="C45" s="162">
        <v>74.453999999999994</v>
      </c>
      <c r="D45" s="162">
        <v>239.15899999999999</v>
      </c>
      <c r="E45" s="155">
        <v>13.842060509633942</v>
      </c>
      <c r="F45" s="162">
        <v>99.063000000000002</v>
      </c>
      <c r="G45" s="162">
        <v>197.251</v>
      </c>
      <c r="H45" s="163">
        <v>14.676268087239098</v>
      </c>
    </row>
    <row r="46" spans="2:8" ht="15" customHeight="1" x14ac:dyDescent="0.2">
      <c r="B46" s="161" t="s">
        <v>90</v>
      </c>
      <c r="C46" s="162">
        <v>34.271000000000001</v>
      </c>
      <c r="D46" s="162">
        <v>49.046999999999997</v>
      </c>
      <c r="E46" s="155">
        <v>37.133856755261817</v>
      </c>
      <c r="F46" s="162">
        <v>22.553000000000001</v>
      </c>
      <c r="G46" s="162">
        <v>40.027999999999999</v>
      </c>
      <c r="H46" s="163">
        <v>42.689795254575863</v>
      </c>
    </row>
    <row r="47" spans="2:8" ht="15" customHeight="1" x14ac:dyDescent="0.2">
      <c r="B47" s="164" t="s">
        <v>91</v>
      </c>
      <c r="C47" s="165">
        <v>38.637</v>
      </c>
      <c r="D47" s="165">
        <v>306.024</v>
      </c>
      <c r="E47" s="157">
        <v>12.341730892854001</v>
      </c>
      <c r="F47" s="165">
        <v>50.713999999999999</v>
      </c>
      <c r="G47" s="165">
        <v>290.57799999999997</v>
      </c>
      <c r="H47" s="166">
        <v>12.341224500730885</v>
      </c>
    </row>
    <row r="50" spans="2:8" ht="15" customHeight="1" x14ac:dyDescent="0.2">
      <c r="B50" s="1087" t="s">
        <v>77</v>
      </c>
      <c r="C50" s="1089" t="s">
        <v>227</v>
      </c>
      <c r="D50" s="1089"/>
      <c r="E50" s="1089"/>
      <c r="F50" s="1089" t="s">
        <v>228</v>
      </c>
      <c r="G50" s="1089"/>
      <c r="H50" s="1018"/>
    </row>
    <row r="51" spans="2:8" ht="15" customHeight="1" x14ac:dyDescent="0.2">
      <c r="B51" s="1088"/>
      <c r="C51" s="277" t="s">
        <v>78</v>
      </c>
      <c r="D51" s="1091" t="s">
        <v>79</v>
      </c>
      <c r="E51" s="1091"/>
      <c r="F51" s="277" t="s">
        <v>78</v>
      </c>
      <c r="G51" s="1091" t="s">
        <v>79</v>
      </c>
      <c r="H51" s="1013"/>
    </row>
    <row r="52" spans="2:8" ht="30" customHeight="1" x14ac:dyDescent="0.2">
      <c r="B52" s="1088"/>
      <c r="C52" s="1090" t="s">
        <v>326</v>
      </c>
      <c r="D52" s="1090"/>
      <c r="E52" s="151" t="s">
        <v>82</v>
      </c>
      <c r="F52" s="1090" t="s">
        <v>326</v>
      </c>
      <c r="G52" s="1090"/>
      <c r="H52" s="152" t="s">
        <v>82</v>
      </c>
    </row>
    <row r="53" spans="2:8" ht="15" customHeight="1" x14ac:dyDescent="0.2">
      <c r="B53" s="186" t="str">
        <f>Index!$B$4</f>
        <v>England</v>
      </c>
      <c r="C53" s="167"/>
      <c r="D53" s="167"/>
      <c r="E53" s="154"/>
      <c r="F53" s="167"/>
      <c r="G53" s="167"/>
      <c r="H53" s="154"/>
    </row>
    <row r="54" spans="2:8" ht="15" customHeight="1" x14ac:dyDescent="0.2">
      <c r="B54" s="158" t="s">
        <v>92</v>
      </c>
      <c r="C54" s="159">
        <v>1094.79</v>
      </c>
      <c r="D54" s="159">
        <v>2910.4050000000002</v>
      </c>
      <c r="E54" s="156">
        <v>5.8810833804531484</v>
      </c>
      <c r="F54" s="159">
        <v>1100.3589999999999</v>
      </c>
      <c r="G54" s="159">
        <v>2272.7440000000001</v>
      </c>
      <c r="H54" s="160">
        <v>6.3794291254089313</v>
      </c>
    </row>
    <row r="55" spans="2:8" ht="15" customHeight="1" x14ac:dyDescent="0.2">
      <c r="B55" s="161" t="s">
        <v>84</v>
      </c>
      <c r="C55" s="162">
        <v>458.39300000000003</v>
      </c>
      <c r="D55" s="162">
        <v>697.48900000000003</v>
      </c>
      <c r="E55" s="155">
        <v>17.720415264244306</v>
      </c>
      <c r="F55" s="162">
        <v>433.029</v>
      </c>
      <c r="G55" s="162">
        <v>474.54899999999998</v>
      </c>
      <c r="H55" s="163">
        <v>18.726785014799798</v>
      </c>
    </row>
    <row r="56" spans="2:8" ht="15" customHeight="1" x14ac:dyDescent="0.2">
      <c r="B56" s="161" t="s">
        <v>85</v>
      </c>
      <c r="C56" s="162">
        <v>96.797000000000011</v>
      </c>
      <c r="D56" s="162">
        <v>832.30399999999997</v>
      </c>
      <c r="E56" s="155">
        <v>9.6423204712133046</v>
      </c>
      <c r="F56" s="162">
        <v>94.827999999999989</v>
      </c>
      <c r="G56" s="162">
        <v>777.92</v>
      </c>
      <c r="H56" s="163">
        <v>11.821284502945733</v>
      </c>
    </row>
    <row r="57" spans="2:8" ht="15" customHeight="1" x14ac:dyDescent="0.2">
      <c r="B57" s="161" t="s">
        <v>86</v>
      </c>
      <c r="C57" s="162">
        <v>274.34600000000006</v>
      </c>
      <c r="D57" s="162">
        <v>146.18299999999999</v>
      </c>
      <c r="E57" s="155">
        <v>28.133280613360093</v>
      </c>
      <c r="F57" s="162">
        <v>262.63900000000007</v>
      </c>
      <c r="G57" s="162">
        <v>109.232</v>
      </c>
      <c r="H57" s="163">
        <v>28.396266231829777</v>
      </c>
    </row>
    <row r="58" spans="2:8" ht="15" customHeight="1" x14ac:dyDescent="0.2">
      <c r="B58" s="161" t="s">
        <v>87</v>
      </c>
      <c r="C58" s="162">
        <v>35.426000000000002</v>
      </c>
      <c r="D58" s="162">
        <v>454.197</v>
      </c>
      <c r="E58" s="155">
        <v>15.09956982649409</v>
      </c>
      <c r="F58" s="162">
        <v>55.984000000000002</v>
      </c>
      <c r="G58" s="162">
        <v>246.98</v>
      </c>
      <c r="H58" s="163">
        <v>13.27418321357456</v>
      </c>
    </row>
    <row r="59" spans="2:8" ht="15" customHeight="1" x14ac:dyDescent="0.2">
      <c r="B59" s="161" t="s">
        <v>88</v>
      </c>
      <c r="C59" s="162">
        <v>61.542999999999999</v>
      </c>
      <c r="D59" s="162">
        <v>306.90899999999999</v>
      </c>
      <c r="E59" s="155">
        <v>7.5604553872133815</v>
      </c>
      <c r="F59" s="162">
        <v>64.763000000000005</v>
      </c>
      <c r="G59" s="162">
        <v>189.46100000000001</v>
      </c>
      <c r="H59" s="163">
        <v>8.698584349301079</v>
      </c>
    </row>
    <row r="60" spans="2:8" ht="15" customHeight="1" x14ac:dyDescent="0.2">
      <c r="B60" s="161" t="s">
        <v>89</v>
      </c>
      <c r="C60" s="162">
        <v>114.209</v>
      </c>
      <c r="D60" s="162">
        <v>173.851</v>
      </c>
      <c r="E60" s="155">
        <v>13.593300838230569</v>
      </c>
      <c r="F60" s="162">
        <v>128.69800000000001</v>
      </c>
      <c r="G60" s="162">
        <v>163.316</v>
      </c>
      <c r="H60" s="163">
        <v>19.161044793600759</v>
      </c>
    </row>
    <row r="61" spans="2:8" ht="15" customHeight="1" x14ac:dyDescent="0.2">
      <c r="B61" s="161" t="s">
        <v>90</v>
      </c>
      <c r="C61" s="162">
        <v>16.981000000000002</v>
      </c>
      <c r="D61" s="162">
        <v>21.263999999999999</v>
      </c>
      <c r="E61" s="155">
        <v>50.672797117315056</v>
      </c>
      <c r="F61" s="162">
        <v>4.6109999999999998</v>
      </c>
      <c r="G61" s="162">
        <v>79.825999999999993</v>
      </c>
      <c r="H61" s="163">
        <v>42.390768401698281</v>
      </c>
    </row>
    <row r="62" spans="2:8" ht="15" customHeight="1" x14ac:dyDescent="0.2">
      <c r="B62" s="164" t="s">
        <v>91</v>
      </c>
      <c r="C62" s="165">
        <v>37.094999999999999</v>
      </c>
      <c r="D62" s="165">
        <v>271.84699999999998</v>
      </c>
      <c r="E62" s="157">
        <v>17.017862564145453</v>
      </c>
      <c r="F62" s="165">
        <v>55.804999999999993</v>
      </c>
      <c r="G62" s="165">
        <v>224.69800000000001</v>
      </c>
      <c r="H62" s="166">
        <v>18.296488297265853</v>
      </c>
    </row>
  </sheetData>
  <mergeCells count="40">
    <mergeCell ref="B50:B52"/>
    <mergeCell ref="F37:G37"/>
    <mergeCell ref="C37:D37"/>
    <mergeCell ref="B35:B37"/>
    <mergeCell ref="C35:E35"/>
    <mergeCell ref="F35:H35"/>
    <mergeCell ref="D36:E36"/>
    <mergeCell ref="G36:H36"/>
    <mergeCell ref="C52:D52"/>
    <mergeCell ref="F52:G52"/>
    <mergeCell ref="C50:E50"/>
    <mergeCell ref="F50:H50"/>
    <mergeCell ref="D51:E51"/>
    <mergeCell ref="G51:H51"/>
    <mergeCell ref="D21:E21"/>
    <mergeCell ref="G21:H21"/>
    <mergeCell ref="B20:B22"/>
    <mergeCell ref="C20:E20"/>
    <mergeCell ref="F20:H20"/>
    <mergeCell ref="C22:D22"/>
    <mergeCell ref="F22:G22"/>
    <mergeCell ref="P6:Q6"/>
    <mergeCell ref="R5:T5"/>
    <mergeCell ref="S6:T6"/>
    <mergeCell ref="R7:S7"/>
    <mergeCell ref="O7:P7"/>
    <mergeCell ref="O5:Q5"/>
    <mergeCell ref="B5:B7"/>
    <mergeCell ref="C5:E5"/>
    <mergeCell ref="F5:H5"/>
    <mergeCell ref="I5:K5"/>
    <mergeCell ref="L5:N5"/>
    <mergeCell ref="C7:D7"/>
    <mergeCell ref="F7:G7"/>
    <mergeCell ref="I7:J7"/>
    <mergeCell ref="L7:M7"/>
    <mergeCell ref="D6:E6"/>
    <mergeCell ref="G6:H6"/>
    <mergeCell ref="J6:K6"/>
    <mergeCell ref="M6:N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344C3B4D-775D-4D65-8301-670F10F01B00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18" id="{816534A4-5634-4CA3-86CE-CBDA64442268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8" id="{24D031B4-818F-458B-B682-7B9669A5428D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expression" priority="14" id="{7A2CD43C-EDE3-4EDD-B931-E54B9D1B0CB5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13" id="{B3E809AF-3FF4-4C28-BD78-4071F92080EB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12" id="{94A11E75-97E3-458C-99C3-E92F929DFE59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11" id="{AB8D058E-280A-4336-B72F-83BA8F2FED0A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cellIs" priority="10" operator="between" id="{61273F1D-4D5A-4759-82A3-BC90031BEF30}">
            <xm:f>Sheet1!$D$4</xm:f>
            <xm:f>Sheet1!$E$4</xm:f>
            <x14:dxf>
              <numFmt numFmtId="173" formatCode="&quot;&lt; 1&quot;"/>
            </x14:dxf>
          </x14:cfRule>
          <xm:sqref>C9:D17 F9:G17 I9:J17 L9:M17 O9:P17 R9:S17</xm:sqref>
        </x14:conditionalFormatting>
        <x14:conditionalFormatting xmlns:xm="http://schemas.microsoft.com/office/excel/2006/main">
          <x14:cfRule type="expression" priority="9" id="{48E86E58-DCC0-4E16-A37C-1036361B2309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cellIs" priority="7" operator="between" id="{5B38CDB8-2869-41AD-944B-7CCC4EC4D199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expression" priority="6" id="{716C52CC-DE21-4DCA-94B9-AA455EDBD74E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expression" priority="5" id="{1563F0AE-5CB9-44E4-AFAC-FC346FBA7CF5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4" operator="between" id="{42E22072-2C1D-48E2-A5C4-5A36BB8529F6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expression" priority="3" id="{63D97BF3-0670-470E-A365-A6E4215E82C8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expression" priority="2" id="{BC61F821-3C01-423B-AE7E-6364C9117841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cellIs" priority="1" operator="between" id="{311664CB-81EA-499B-AD61-7C65EBE81B55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9" tint="0.59999389629810485"/>
  </sheetPr>
  <dimension ref="B3:L18"/>
  <sheetViews>
    <sheetView workbookViewId="0"/>
  </sheetViews>
  <sheetFormatPr defaultRowHeight="15" customHeight="1" x14ac:dyDescent="0.2"/>
  <cols>
    <col min="2" max="2" width="11.875" customWidth="1"/>
    <col min="3" max="3" width="14.25" bestFit="1" customWidth="1"/>
    <col min="4" max="12" width="9.625" customWidth="1"/>
  </cols>
  <sheetData>
    <row r="3" spans="2:12" ht="15" customHeight="1" x14ac:dyDescent="0.2">
      <c r="B3" t="s">
        <v>249</v>
      </c>
      <c r="C3" t="s">
        <v>356</v>
      </c>
    </row>
    <row r="5" spans="2:12" s="312" customFormat="1" ht="20.100000000000001" customHeight="1" x14ac:dyDescent="0.2">
      <c r="B5" s="1094" t="str">
        <f>Index!$B$4</f>
        <v>England</v>
      </c>
      <c r="C5" s="1095"/>
      <c r="D5" s="1098" t="s">
        <v>213</v>
      </c>
      <c r="E5" s="1098"/>
      <c r="F5" s="1098"/>
      <c r="G5" s="1098"/>
      <c r="H5" s="1098"/>
      <c r="I5" s="1098"/>
      <c r="J5" s="1098"/>
      <c r="K5" s="1098"/>
      <c r="L5" s="1099"/>
    </row>
    <row r="6" spans="2:12" s="312" customFormat="1" ht="20.100000000000001" customHeight="1" x14ac:dyDescent="0.2">
      <c r="B6" s="1096"/>
      <c r="C6" s="1097"/>
      <c r="D6" s="313" t="s">
        <v>214</v>
      </c>
      <c r="E6" s="314" t="s">
        <v>215</v>
      </c>
      <c r="F6" s="314" t="s">
        <v>216</v>
      </c>
      <c r="G6" s="314" t="s">
        <v>217</v>
      </c>
      <c r="H6" s="314" t="s">
        <v>218</v>
      </c>
      <c r="I6" s="314" t="s">
        <v>219</v>
      </c>
      <c r="J6" s="314" t="s">
        <v>220</v>
      </c>
      <c r="K6" s="314" t="s">
        <v>221</v>
      </c>
      <c r="L6" s="315" t="s">
        <v>80</v>
      </c>
    </row>
    <row r="7" spans="2:12" s="312" customFormat="1" ht="20.100000000000001" customHeight="1" x14ac:dyDescent="0.2">
      <c r="B7" s="1092" t="s">
        <v>332</v>
      </c>
      <c r="C7" s="315" t="s">
        <v>223</v>
      </c>
      <c r="D7" s="316">
        <v>56.822385163189523</v>
      </c>
      <c r="E7" s="316">
        <v>67.387601911280029</v>
      </c>
      <c r="F7" s="316">
        <v>68.964122149758069</v>
      </c>
      <c r="G7" s="316">
        <v>65.80218757272516</v>
      </c>
      <c r="H7" s="316">
        <v>46.210396473087492</v>
      </c>
      <c r="I7" s="316">
        <v>28.32861482507078</v>
      </c>
      <c r="J7" s="316">
        <v>22.565610859728508</v>
      </c>
      <c r="K7" s="316">
        <v>23.510053641359793</v>
      </c>
      <c r="L7" s="317">
        <v>55</v>
      </c>
    </row>
    <row r="8" spans="2:12" s="312" customFormat="1" ht="20.100000000000001" customHeight="1" x14ac:dyDescent="0.2">
      <c r="B8" s="1100"/>
      <c r="C8" s="315" t="s">
        <v>224</v>
      </c>
      <c r="D8" s="316">
        <v>37.548857302391184</v>
      </c>
      <c r="E8" s="316">
        <v>33.619296560249623</v>
      </c>
      <c r="F8" s="316">
        <v>32.63876651982379</v>
      </c>
      <c r="G8" s="316">
        <v>29.49788638003918</v>
      </c>
      <c r="H8" s="316">
        <v>24.028144200537323</v>
      </c>
      <c r="I8" s="316">
        <v>17.33966857035858</v>
      </c>
      <c r="J8" s="316">
        <v>13.759035780937962</v>
      </c>
      <c r="K8" s="316">
        <v>8.9737364403943065</v>
      </c>
      <c r="L8" s="317">
        <v>24.719965300139929</v>
      </c>
    </row>
    <row r="9" spans="2:12" s="312" customFormat="1" ht="20.100000000000001" customHeight="1" x14ac:dyDescent="0.2">
      <c r="B9" s="1092" t="s">
        <v>222</v>
      </c>
      <c r="C9" s="315" t="s">
        <v>223</v>
      </c>
      <c r="D9" s="316">
        <v>56.961799118131907</v>
      </c>
      <c r="E9" s="316">
        <v>60.667500423944375</v>
      </c>
      <c r="F9" s="316">
        <v>59.690408107589242</v>
      </c>
      <c r="G9" s="316">
        <v>55.677094493250479</v>
      </c>
      <c r="H9" s="316">
        <v>41.224608702560978</v>
      </c>
      <c r="I9" s="316">
        <v>28.824917059050197</v>
      </c>
      <c r="J9" s="316">
        <v>23.838523738721307</v>
      </c>
      <c r="K9" s="316">
        <v>15.923733240466657</v>
      </c>
      <c r="L9" s="317">
        <v>48.334750388423629</v>
      </c>
    </row>
    <row r="10" spans="2:12" s="312" customFormat="1" ht="20.100000000000001" customHeight="1" x14ac:dyDescent="0.2">
      <c r="B10" s="1100"/>
      <c r="C10" s="315" t="s">
        <v>224</v>
      </c>
      <c r="D10" s="316">
        <v>33.60374921697975</v>
      </c>
      <c r="E10" s="316">
        <v>32.175417794939989</v>
      </c>
      <c r="F10" s="316">
        <v>31.925689499959081</v>
      </c>
      <c r="G10" s="316">
        <v>32.381266936397964</v>
      </c>
      <c r="H10" s="316">
        <v>32.885250278592281</v>
      </c>
      <c r="I10" s="316">
        <v>29.510196656872704</v>
      </c>
      <c r="J10" s="316">
        <v>27.846249278090308</v>
      </c>
      <c r="K10" s="316">
        <v>27.757781559346512</v>
      </c>
      <c r="L10" s="317">
        <v>31.4724108273934</v>
      </c>
    </row>
    <row r="11" spans="2:12" s="312" customFormat="1" ht="20.100000000000001" customHeight="1" x14ac:dyDescent="0.2">
      <c r="B11" s="1092" t="s">
        <v>225</v>
      </c>
      <c r="C11" s="315" t="s">
        <v>223</v>
      </c>
      <c r="D11" s="316">
        <v>59.683661871692294</v>
      </c>
      <c r="E11" s="316">
        <v>63.003638017280586</v>
      </c>
      <c r="F11" s="316">
        <v>60.96512082501242</v>
      </c>
      <c r="G11" s="316">
        <v>53.517201478847397</v>
      </c>
      <c r="H11" s="316">
        <v>36.704234392403393</v>
      </c>
      <c r="I11" s="316">
        <v>24.835105406997517</v>
      </c>
      <c r="J11" s="316">
        <v>20.722550467749876</v>
      </c>
      <c r="K11" s="316">
        <v>13.672841821045525</v>
      </c>
      <c r="L11" s="317">
        <v>46.531948392428419</v>
      </c>
    </row>
    <row r="12" spans="2:12" s="312" customFormat="1" ht="20.100000000000001" customHeight="1" x14ac:dyDescent="0.2">
      <c r="B12" s="1100"/>
      <c r="C12" s="315" t="s">
        <v>224</v>
      </c>
      <c r="D12" s="316">
        <v>44.753326322527542</v>
      </c>
      <c r="E12" s="316">
        <v>45.386088909439195</v>
      </c>
      <c r="F12" s="316">
        <v>44.850043221543373</v>
      </c>
      <c r="G12" s="316">
        <v>41.85105799014547</v>
      </c>
      <c r="H12" s="316">
        <v>36.172688654191965</v>
      </c>
      <c r="I12" s="316">
        <v>30.397650712443262</v>
      </c>
      <c r="J12" s="316">
        <v>27.028748606596537</v>
      </c>
      <c r="K12" s="316">
        <v>22.538569493072789</v>
      </c>
      <c r="L12" s="317">
        <v>36.188515343914268</v>
      </c>
    </row>
    <row r="13" spans="2:12" s="312" customFormat="1" ht="20.100000000000001" customHeight="1" x14ac:dyDescent="0.2">
      <c r="B13" s="1092" t="s">
        <v>226</v>
      </c>
      <c r="C13" s="315" t="s">
        <v>223</v>
      </c>
      <c r="D13" s="316">
        <v>63.557992379178948</v>
      </c>
      <c r="E13" s="316">
        <v>65.838676851023138</v>
      </c>
      <c r="F13" s="316">
        <v>63.040081559379878</v>
      </c>
      <c r="G13" s="316">
        <v>54.572716765413332</v>
      </c>
      <c r="H13" s="316">
        <v>38.634058765486238</v>
      </c>
      <c r="I13" s="316">
        <v>29.049473281646559</v>
      </c>
      <c r="J13" s="316">
        <v>25.093618719942214</v>
      </c>
      <c r="K13" s="316">
        <v>17.259972280761708</v>
      </c>
      <c r="L13" s="317">
        <v>47.716066886830724</v>
      </c>
    </row>
    <row r="14" spans="2:12" s="312" customFormat="1" ht="20.100000000000001" customHeight="1" x14ac:dyDescent="0.2">
      <c r="B14" s="1100"/>
      <c r="C14" s="315" t="s">
        <v>224</v>
      </c>
      <c r="D14" s="316">
        <v>44.520679640142887</v>
      </c>
      <c r="E14" s="316">
        <v>44.863268384930841</v>
      </c>
      <c r="F14" s="316">
        <v>45.021671029481183</v>
      </c>
      <c r="G14" s="316">
        <v>41.278760309264207</v>
      </c>
      <c r="H14" s="316">
        <v>36.43280159521435</v>
      </c>
      <c r="I14" s="316">
        <v>32.291814733629096</v>
      </c>
      <c r="J14" s="316">
        <v>29.917304013506886</v>
      </c>
      <c r="K14" s="316">
        <v>26.203466311147576</v>
      </c>
      <c r="L14" s="317">
        <v>36.131895086937824</v>
      </c>
    </row>
    <row r="15" spans="2:12" s="312" customFormat="1" ht="20.100000000000001" customHeight="1" x14ac:dyDescent="0.2">
      <c r="B15" s="1092" t="s">
        <v>227</v>
      </c>
      <c r="C15" s="315" t="s">
        <v>223</v>
      </c>
      <c r="D15" s="316">
        <v>63.189394242817833</v>
      </c>
      <c r="E15" s="316">
        <v>66.047283940855536</v>
      </c>
      <c r="F15" s="316">
        <v>62.128814377035333</v>
      </c>
      <c r="G15" s="316">
        <v>50.959724676774258</v>
      </c>
      <c r="H15" s="316">
        <v>34.096770615233154</v>
      </c>
      <c r="I15" s="316">
        <v>26.179440937781784</v>
      </c>
      <c r="J15" s="316">
        <v>23.050271017111275</v>
      </c>
      <c r="K15" s="316">
        <v>14.208433813465424</v>
      </c>
      <c r="L15" s="317">
        <v>45.106276089478349</v>
      </c>
    </row>
    <row r="16" spans="2:12" s="312" customFormat="1" ht="20.100000000000001" customHeight="1" x14ac:dyDescent="0.2">
      <c r="B16" s="1100"/>
      <c r="C16" s="315" t="s">
        <v>224</v>
      </c>
      <c r="D16" s="316">
        <v>49.263765920174237</v>
      </c>
      <c r="E16" s="316">
        <v>52.317016317016318</v>
      </c>
      <c r="F16" s="316">
        <v>50.360491294064005</v>
      </c>
      <c r="G16" s="316">
        <v>47.682344047010432</v>
      </c>
      <c r="H16" s="316">
        <v>41.470377582196626</v>
      </c>
      <c r="I16" s="316">
        <v>34.661542816918647</v>
      </c>
      <c r="J16" s="316">
        <v>30.097306626770809</v>
      </c>
      <c r="K16" s="316">
        <v>19.699565516017252</v>
      </c>
      <c r="L16" s="317">
        <v>39.57133113776262</v>
      </c>
    </row>
    <row r="17" spans="2:12" s="312" customFormat="1" ht="20.100000000000001" customHeight="1" x14ac:dyDescent="0.2">
      <c r="B17" s="1092" t="s">
        <v>228</v>
      </c>
      <c r="C17" s="315" t="s">
        <v>223</v>
      </c>
      <c r="D17" s="316">
        <v>62.268542799914087</v>
      </c>
      <c r="E17" s="316">
        <v>66.927840790480829</v>
      </c>
      <c r="F17" s="316">
        <v>63.920775748546802</v>
      </c>
      <c r="G17" s="316">
        <v>52.418720231932085</v>
      </c>
      <c r="H17" s="316">
        <v>33.101063962770233</v>
      </c>
      <c r="I17" s="316">
        <v>24.355407160081619</v>
      </c>
      <c r="J17" s="316">
        <v>22.390430800859733</v>
      </c>
      <c r="K17" s="316">
        <v>13.592493747587156</v>
      </c>
      <c r="L17" s="317">
        <v>44.441223273495282</v>
      </c>
    </row>
    <row r="18" spans="2:12" s="312" customFormat="1" ht="20.100000000000001" customHeight="1" x14ac:dyDescent="0.2">
      <c r="B18" s="1093"/>
      <c r="C18" s="318" t="s">
        <v>224</v>
      </c>
      <c r="D18" s="319">
        <v>41.218399928720125</v>
      </c>
      <c r="E18" s="319">
        <v>50.822960725075525</v>
      </c>
      <c r="F18" s="319">
        <v>49.800190294957183</v>
      </c>
      <c r="G18" s="319">
        <v>41.673803927817396</v>
      </c>
      <c r="H18" s="319">
        <v>29.14175304098513</v>
      </c>
      <c r="I18" s="319">
        <v>23.439103485078611</v>
      </c>
      <c r="J18" s="319">
        <v>21.066951095698201</v>
      </c>
      <c r="K18" s="319">
        <v>17.435615617115879</v>
      </c>
      <c r="L18" s="320">
        <v>31.74704234176836</v>
      </c>
    </row>
  </sheetData>
  <mergeCells count="8">
    <mergeCell ref="B17:B18"/>
    <mergeCell ref="B5:C6"/>
    <mergeCell ref="D5:L5"/>
    <mergeCell ref="B9:B10"/>
    <mergeCell ref="B11:B12"/>
    <mergeCell ref="B13:B14"/>
    <mergeCell ref="B15:B16"/>
    <mergeCell ref="B7:B8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8063E99-4596-4274-A003-5709D8CA030F}">
            <xm:f>Sheet1!$D$4</xm:f>
            <xm:f>Sheet1!$E$4</xm:f>
            <x14:dxf>
              <numFmt numFmtId="173" formatCode="&quot;&lt; 1&quot;"/>
            </x14:dxf>
          </x14:cfRule>
          <xm:sqref>D7:L18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9" tint="0.59999389629810485"/>
  </sheetPr>
  <dimension ref="B3:T62"/>
  <sheetViews>
    <sheetView workbookViewId="0"/>
  </sheetViews>
  <sheetFormatPr defaultRowHeight="15" customHeight="1" x14ac:dyDescent="0.2"/>
  <cols>
    <col min="1" max="1" width="9" style="150"/>
    <col min="2" max="2" width="20.625" style="150" customWidth="1"/>
    <col min="3" max="4" width="12.625" style="150" customWidth="1"/>
    <col min="5" max="5" width="6.625" style="150" customWidth="1"/>
    <col min="6" max="7" width="12.625" style="150" customWidth="1"/>
    <col min="8" max="8" width="6.625" style="150" customWidth="1"/>
    <col min="9" max="10" width="12.625" style="150" customWidth="1"/>
    <col min="11" max="11" width="6.625" style="150" customWidth="1"/>
    <col min="12" max="13" width="12.625" style="150" customWidth="1"/>
    <col min="14" max="14" width="6.625" style="150" customWidth="1"/>
    <col min="15" max="16" width="12.625" style="150" customWidth="1"/>
    <col min="17" max="17" width="6.625" style="150" customWidth="1"/>
    <col min="18" max="19" width="12.625" style="150" customWidth="1"/>
    <col min="20" max="20" width="6.625" style="150" customWidth="1"/>
    <col min="21" max="16384" width="9" style="150"/>
  </cols>
  <sheetData>
    <row r="3" spans="2:20" ht="15" customHeight="1" x14ac:dyDescent="0.2">
      <c r="B3" s="150" t="s">
        <v>251</v>
      </c>
      <c r="C3" s="150" t="s">
        <v>489</v>
      </c>
    </row>
    <row r="5" spans="2:20" ht="15" customHeight="1" x14ac:dyDescent="0.2">
      <c r="B5" s="1105" t="s">
        <v>213</v>
      </c>
      <c r="C5" s="1103" t="s">
        <v>332</v>
      </c>
      <c r="D5" s="1103"/>
      <c r="E5" s="1103"/>
      <c r="F5" s="1103" t="s">
        <v>222</v>
      </c>
      <c r="G5" s="1103"/>
      <c r="H5" s="1103"/>
      <c r="I5" s="1103" t="s">
        <v>225</v>
      </c>
      <c r="J5" s="1103"/>
      <c r="K5" s="1103"/>
      <c r="L5" s="1103" t="s">
        <v>226</v>
      </c>
      <c r="M5" s="1103"/>
      <c r="N5" s="1103"/>
      <c r="O5" s="1103" t="s">
        <v>227</v>
      </c>
      <c r="P5" s="1103"/>
      <c r="Q5" s="1103"/>
      <c r="R5" s="1103" t="s">
        <v>228</v>
      </c>
      <c r="S5" s="1103"/>
      <c r="T5" s="1104"/>
    </row>
    <row r="6" spans="2:20" ht="15" customHeight="1" x14ac:dyDescent="0.2">
      <c r="B6" s="1106"/>
      <c r="C6" s="38" t="s">
        <v>78</v>
      </c>
      <c r="D6" s="1101" t="s">
        <v>79</v>
      </c>
      <c r="E6" s="1101"/>
      <c r="F6" s="38" t="s">
        <v>78</v>
      </c>
      <c r="G6" s="1101" t="s">
        <v>79</v>
      </c>
      <c r="H6" s="1101"/>
      <c r="I6" s="38" t="s">
        <v>78</v>
      </c>
      <c r="J6" s="1101" t="s">
        <v>79</v>
      </c>
      <c r="K6" s="1101"/>
      <c r="L6" s="38" t="s">
        <v>78</v>
      </c>
      <c r="M6" s="1101" t="s">
        <v>79</v>
      </c>
      <c r="N6" s="1101"/>
      <c r="O6" s="38" t="s">
        <v>78</v>
      </c>
      <c r="P6" s="1101" t="s">
        <v>79</v>
      </c>
      <c r="Q6" s="1101"/>
      <c r="R6" s="38" t="s">
        <v>78</v>
      </c>
      <c r="S6" s="1101" t="s">
        <v>79</v>
      </c>
      <c r="T6" s="1102"/>
    </row>
    <row r="7" spans="2:20" ht="30" customHeight="1" x14ac:dyDescent="0.2">
      <c r="B7" s="1106"/>
      <c r="C7" s="1090" t="s">
        <v>326</v>
      </c>
      <c r="D7" s="1090"/>
      <c r="E7" s="151" t="s">
        <v>82</v>
      </c>
      <c r="F7" s="1090" t="s">
        <v>326</v>
      </c>
      <c r="G7" s="1090"/>
      <c r="H7" s="151" t="s">
        <v>82</v>
      </c>
      <c r="I7" s="1090" t="s">
        <v>326</v>
      </c>
      <c r="J7" s="1090"/>
      <c r="K7" s="151" t="s">
        <v>82</v>
      </c>
      <c r="L7" s="1090" t="s">
        <v>326</v>
      </c>
      <c r="M7" s="1090"/>
      <c r="N7" s="151" t="s">
        <v>82</v>
      </c>
      <c r="O7" s="1090" t="s">
        <v>326</v>
      </c>
      <c r="P7" s="1090"/>
      <c r="Q7" s="151" t="s">
        <v>82</v>
      </c>
      <c r="R7" s="1090" t="s">
        <v>326</v>
      </c>
      <c r="S7" s="1090"/>
      <c r="T7" s="152" t="s">
        <v>82</v>
      </c>
    </row>
    <row r="8" spans="2:20" ht="15" customHeight="1" x14ac:dyDescent="0.2">
      <c r="B8" s="153" t="str">
        <f>Index!$B$4</f>
        <v>England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</row>
    <row r="9" spans="2:20" ht="15" customHeight="1" x14ac:dyDescent="0.2">
      <c r="B9" s="195" t="s">
        <v>214</v>
      </c>
      <c r="C9" s="196">
        <v>350.911</v>
      </c>
      <c r="D9" s="196">
        <v>306.24900000000002</v>
      </c>
      <c r="E9" s="155">
        <v>4.2137125564230962</v>
      </c>
      <c r="F9" s="196">
        <v>223.84299999999999</v>
      </c>
      <c r="G9" s="196">
        <v>258.61399999999998</v>
      </c>
      <c r="H9" s="155">
        <v>4.3173046579901557</v>
      </c>
      <c r="I9" s="196">
        <v>199.72300000000001</v>
      </c>
      <c r="J9" s="196">
        <v>218.71</v>
      </c>
      <c r="K9" s="155">
        <v>6.0268091647787534</v>
      </c>
      <c r="L9" s="196">
        <v>173.99700000000001</v>
      </c>
      <c r="M9" s="196">
        <v>197.63399999999999</v>
      </c>
      <c r="N9" s="155">
        <v>6.2392013150494332</v>
      </c>
      <c r="O9" s="196">
        <v>174.773</v>
      </c>
      <c r="P9" s="196">
        <v>190.089</v>
      </c>
      <c r="Q9" s="155">
        <v>6.4896844930568145</v>
      </c>
      <c r="R9" s="196">
        <v>200.19900000000001</v>
      </c>
      <c r="S9" s="196">
        <v>246.91399999999999</v>
      </c>
      <c r="T9" s="163">
        <v>7.6323603214441675</v>
      </c>
    </row>
    <row r="10" spans="2:20" ht="15" customHeight="1" x14ac:dyDescent="0.2">
      <c r="B10" s="161" t="s">
        <v>215</v>
      </c>
      <c r="C10" s="196">
        <v>126.82599999999999</v>
      </c>
      <c r="D10" s="196">
        <v>134.28299999999999</v>
      </c>
      <c r="E10" s="155">
        <v>4.0789105058986914</v>
      </c>
      <c r="F10" s="196">
        <v>94.352000000000004</v>
      </c>
      <c r="G10" s="196">
        <v>124.822</v>
      </c>
      <c r="H10" s="155">
        <v>4.5494944755880091</v>
      </c>
      <c r="I10" s="196">
        <v>87.96</v>
      </c>
      <c r="J10" s="196">
        <v>105.973</v>
      </c>
      <c r="K10" s="155">
        <v>6.5477668508058668</v>
      </c>
      <c r="L10" s="196">
        <v>81.563000000000002</v>
      </c>
      <c r="M10" s="196">
        <v>94.126000000000005</v>
      </c>
      <c r="N10" s="155">
        <v>6.2398624706583306</v>
      </c>
      <c r="O10" s="196">
        <v>75.882000000000005</v>
      </c>
      <c r="P10" s="196">
        <v>85.8</v>
      </c>
      <c r="Q10" s="155">
        <v>7.8789773713315663</v>
      </c>
      <c r="R10" s="196">
        <v>71.855000000000004</v>
      </c>
      <c r="S10" s="196">
        <v>82.75</v>
      </c>
      <c r="T10" s="163">
        <v>11.032689907935122</v>
      </c>
    </row>
    <row r="11" spans="2:20" ht="15" customHeight="1" x14ac:dyDescent="0.2">
      <c r="B11" s="161" t="s">
        <v>216</v>
      </c>
      <c r="C11" s="196">
        <v>123.586</v>
      </c>
      <c r="D11" s="196">
        <v>158.9</v>
      </c>
      <c r="E11" s="155">
        <v>4.3689195101165881</v>
      </c>
      <c r="F11" s="196">
        <v>98.968999999999994</v>
      </c>
      <c r="G11" s="196">
        <v>158.84700000000001</v>
      </c>
      <c r="H11" s="155">
        <v>4.6593529531996527</v>
      </c>
      <c r="I11" s="196">
        <v>94.641000000000005</v>
      </c>
      <c r="J11" s="196">
        <v>136.506</v>
      </c>
      <c r="K11" s="155">
        <v>6.5097404326812409</v>
      </c>
      <c r="L11" s="196">
        <v>90.241</v>
      </c>
      <c r="M11" s="196">
        <v>116.515</v>
      </c>
      <c r="N11" s="155">
        <v>6.4794205456694662</v>
      </c>
      <c r="O11" s="196">
        <v>82.91</v>
      </c>
      <c r="P11" s="196">
        <v>105.273</v>
      </c>
      <c r="Q11" s="155">
        <v>7.9255927367617698</v>
      </c>
      <c r="R11" s="196">
        <v>75.179000000000002</v>
      </c>
      <c r="S11" s="196">
        <v>94.59</v>
      </c>
      <c r="T11" s="163">
        <v>10.678604018837438</v>
      </c>
    </row>
    <row r="12" spans="2:20" ht="15" customHeight="1" x14ac:dyDescent="0.2">
      <c r="B12" s="161" t="s">
        <v>217</v>
      </c>
      <c r="C12" s="196">
        <v>322.27499999999998</v>
      </c>
      <c r="D12" s="196">
        <v>611.03700000000003</v>
      </c>
      <c r="E12" s="155">
        <v>5.1784648953594772</v>
      </c>
      <c r="F12" s="196">
        <v>280.02</v>
      </c>
      <c r="G12" s="196">
        <v>666.09500000000003</v>
      </c>
      <c r="H12" s="155">
        <v>5.0581373822927862</v>
      </c>
      <c r="I12" s="196">
        <v>283.464</v>
      </c>
      <c r="J12" s="196">
        <v>612.10400000000004</v>
      </c>
      <c r="K12" s="155">
        <v>5.9479820539123889</v>
      </c>
      <c r="L12" s="196">
        <v>288.11099999999999</v>
      </c>
      <c r="M12" s="196">
        <v>546.71699999999998</v>
      </c>
      <c r="N12" s="155">
        <v>6.110278724586351</v>
      </c>
      <c r="O12" s="196">
        <v>268.77499999999998</v>
      </c>
      <c r="P12" s="196">
        <v>506.61099999999999</v>
      </c>
      <c r="Q12" s="155">
        <v>7.8117698939623388</v>
      </c>
      <c r="R12" s="196">
        <v>241.45</v>
      </c>
      <c r="S12" s="196">
        <v>401.64800000000002</v>
      </c>
      <c r="T12" s="163">
        <v>9.2988981751448669</v>
      </c>
    </row>
    <row r="13" spans="2:20" ht="15" customHeight="1" x14ac:dyDescent="0.2">
      <c r="B13" s="161" t="s">
        <v>218</v>
      </c>
      <c r="C13" s="196">
        <v>262.666</v>
      </c>
      <c r="D13" s="196">
        <v>909.31700000000001</v>
      </c>
      <c r="E13" s="155">
        <v>6.2302218509445941</v>
      </c>
      <c r="F13" s="196">
        <v>264.31299999999999</v>
      </c>
      <c r="G13" s="196">
        <v>1056.203</v>
      </c>
      <c r="H13" s="155">
        <v>5.790416763027066</v>
      </c>
      <c r="I13" s="196">
        <v>264.85500000000002</v>
      </c>
      <c r="J13" s="196">
        <v>995.98900000000003</v>
      </c>
      <c r="K13" s="155">
        <v>5.790423395517486</v>
      </c>
      <c r="L13" s="196">
        <v>291.87200000000001</v>
      </c>
      <c r="M13" s="196">
        <v>1003</v>
      </c>
      <c r="N13" s="155">
        <v>6.0292602696067723</v>
      </c>
      <c r="O13" s="196">
        <v>288.476</v>
      </c>
      <c r="P13" s="196">
        <v>992.71100000000001</v>
      </c>
      <c r="Q13" s="155">
        <v>7.0185728028086123</v>
      </c>
      <c r="R13" s="196">
        <v>279.99099999999999</v>
      </c>
      <c r="S13" s="196">
        <v>705.93899999999996</v>
      </c>
      <c r="T13" s="163">
        <v>7.7742799135672529</v>
      </c>
    </row>
    <row r="14" spans="2:20" ht="15" customHeight="1" x14ac:dyDescent="0.2">
      <c r="B14" s="161" t="s">
        <v>219</v>
      </c>
      <c r="C14" s="196">
        <v>96.781999999999996</v>
      </c>
      <c r="D14" s="196">
        <v>427.24</v>
      </c>
      <c r="E14" s="155">
        <v>6.9473234888569531</v>
      </c>
      <c r="F14" s="196">
        <v>106.401</v>
      </c>
      <c r="G14" s="196">
        <v>505.75400000000002</v>
      </c>
      <c r="H14" s="155">
        <v>6.4799356449087577</v>
      </c>
      <c r="I14" s="196">
        <v>103.551</v>
      </c>
      <c r="J14" s="196">
        <v>467.54599999999999</v>
      </c>
      <c r="K14" s="155">
        <v>6.4781968720695868</v>
      </c>
      <c r="L14" s="196">
        <v>115.05200000000001</v>
      </c>
      <c r="M14" s="196">
        <v>534.66800000000001</v>
      </c>
      <c r="N14" s="155">
        <v>6.4427547001454712</v>
      </c>
      <c r="O14" s="196">
        <v>110.9</v>
      </c>
      <c r="P14" s="196">
        <v>522.78399999999999</v>
      </c>
      <c r="Q14" s="155">
        <v>6.4814221619105865</v>
      </c>
      <c r="R14" s="196">
        <v>118.602</v>
      </c>
      <c r="S14" s="196">
        <v>365.41500000000002</v>
      </c>
      <c r="T14" s="163">
        <v>7.191678159147985</v>
      </c>
    </row>
    <row r="15" spans="2:20" ht="15" customHeight="1" x14ac:dyDescent="0.2">
      <c r="B15" s="161" t="s">
        <v>220</v>
      </c>
      <c r="C15" s="196">
        <v>44.2</v>
      </c>
      <c r="D15" s="196">
        <v>198.79300000000001</v>
      </c>
      <c r="E15" s="155">
        <v>8.5066740166873771</v>
      </c>
      <c r="F15" s="196">
        <v>49.097000000000001</v>
      </c>
      <c r="G15" s="196">
        <v>233.755</v>
      </c>
      <c r="H15" s="155">
        <v>7.7339423044201885</v>
      </c>
      <c r="I15" s="196">
        <v>48.744</v>
      </c>
      <c r="J15" s="196">
        <v>213.506</v>
      </c>
      <c r="K15" s="155">
        <v>7.7647493095931104</v>
      </c>
      <c r="L15" s="196">
        <v>52.606999999999999</v>
      </c>
      <c r="M15" s="196">
        <v>267.12299999999999</v>
      </c>
      <c r="N15" s="155">
        <v>7.092221003976432</v>
      </c>
      <c r="O15" s="196">
        <v>47.045000000000002</v>
      </c>
      <c r="P15" s="196">
        <v>247.97900000000001</v>
      </c>
      <c r="Q15" s="155">
        <v>6.8567992317793856</v>
      </c>
      <c r="R15" s="196">
        <v>53.505000000000003</v>
      </c>
      <c r="S15" s="196">
        <v>175.322</v>
      </c>
      <c r="T15" s="163">
        <v>7.9564990156073137</v>
      </c>
    </row>
    <row r="16" spans="2:20" ht="15" customHeight="1" x14ac:dyDescent="0.2">
      <c r="B16" s="161" t="s">
        <v>221</v>
      </c>
      <c r="C16" s="196">
        <v>30.387</v>
      </c>
      <c r="D16" s="196">
        <v>212.119</v>
      </c>
      <c r="E16" s="155">
        <v>11.757865025323465</v>
      </c>
      <c r="F16" s="196">
        <v>34.457999999999998</v>
      </c>
      <c r="G16" s="196">
        <v>260.327</v>
      </c>
      <c r="H16" s="155">
        <v>12.001305327693741</v>
      </c>
      <c r="I16" s="196">
        <v>39.999000000000002</v>
      </c>
      <c r="J16" s="196">
        <v>205.92699999999999</v>
      </c>
      <c r="K16" s="155">
        <v>9.9452841668398904</v>
      </c>
      <c r="L16" s="196">
        <v>52.670999999999999</v>
      </c>
      <c r="M16" s="196">
        <v>292.52999999999997</v>
      </c>
      <c r="N16" s="155">
        <v>9.8779512397942373</v>
      </c>
      <c r="O16" s="196">
        <v>46.029000000000003</v>
      </c>
      <c r="P16" s="196">
        <v>259.15800000000002</v>
      </c>
      <c r="Q16" s="155">
        <v>8.6881066406166028</v>
      </c>
      <c r="R16" s="196">
        <v>59.576999999999998</v>
      </c>
      <c r="S16" s="196">
        <v>200.16499999999999</v>
      </c>
      <c r="T16" s="163">
        <v>9.377455784701219</v>
      </c>
    </row>
    <row r="17" spans="2:20" ht="15" customHeight="1" x14ac:dyDescent="0.2">
      <c r="B17" s="197" t="s">
        <v>80</v>
      </c>
      <c r="C17" s="198">
        <v>1357.6379999999999</v>
      </c>
      <c r="D17" s="198">
        <v>2957.9369999999999</v>
      </c>
      <c r="E17" s="199">
        <v>4.9175326735365372</v>
      </c>
      <c r="F17" s="198">
        <v>1151.4490000000001</v>
      </c>
      <c r="G17" s="198">
        <v>3264.904</v>
      </c>
      <c r="H17" s="199">
        <v>4.7723267050589984</v>
      </c>
      <c r="I17" s="198">
        <v>1122.9359999999999</v>
      </c>
      <c r="J17" s="198">
        <v>2956.4490000000001</v>
      </c>
      <c r="K17" s="199">
        <v>5.0877422572868625</v>
      </c>
      <c r="L17" s="198">
        <v>1146.115</v>
      </c>
      <c r="M17" s="198">
        <v>3052.6990000000001</v>
      </c>
      <c r="N17" s="199">
        <v>5.1812754658331821</v>
      </c>
      <c r="O17" s="198">
        <v>1094.79</v>
      </c>
      <c r="P17" s="198">
        <v>2910.4050000000002</v>
      </c>
      <c r="Q17" s="199">
        <v>5.8810833804531484</v>
      </c>
      <c r="R17" s="198">
        <v>1100.3589999999999</v>
      </c>
      <c r="S17" s="198">
        <v>2272.7440000000001</v>
      </c>
      <c r="T17" s="200">
        <v>6.3794291254089313</v>
      </c>
    </row>
    <row r="20" spans="2:20" ht="15" customHeight="1" x14ac:dyDescent="0.2">
      <c r="B20" s="1105" t="s">
        <v>213</v>
      </c>
      <c r="C20" s="1103" t="s">
        <v>332</v>
      </c>
      <c r="D20" s="1103"/>
      <c r="E20" s="1103"/>
      <c r="F20" s="1103" t="s">
        <v>222</v>
      </c>
      <c r="G20" s="1103"/>
      <c r="H20" s="1104"/>
    </row>
    <row r="21" spans="2:20" ht="15" customHeight="1" x14ac:dyDescent="0.2">
      <c r="B21" s="1106"/>
      <c r="C21" s="308" t="s">
        <v>78</v>
      </c>
      <c r="D21" s="1101" t="s">
        <v>79</v>
      </c>
      <c r="E21" s="1101"/>
      <c r="F21" s="308" t="s">
        <v>78</v>
      </c>
      <c r="G21" s="1101" t="s">
        <v>79</v>
      </c>
      <c r="H21" s="1102"/>
    </row>
    <row r="22" spans="2:20" ht="30" customHeight="1" x14ac:dyDescent="0.2">
      <c r="B22" s="1106"/>
      <c r="C22" s="1090" t="s">
        <v>326</v>
      </c>
      <c r="D22" s="1090"/>
      <c r="E22" s="151" t="s">
        <v>82</v>
      </c>
      <c r="F22" s="1090" t="s">
        <v>326</v>
      </c>
      <c r="G22" s="1090"/>
      <c r="H22" s="152" t="s">
        <v>82</v>
      </c>
    </row>
    <row r="23" spans="2:20" ht="15" customHeight="1" x14ac:dyDescent="0.2">
      <c r="B23" s="153" t="str">
        <f>Index!$B$4</f>
        <v>England</v>
      </c>
      <c r="C23" s="154"/>
      <c r="D23" s="154"/>
      <c r="E23" s="154"/>
      <c r="F23" s="154"/>
      <c r="G23" s="154"/>
      <c r="H23" s="154"/>
    </row>
    <row r="24" spans="2:20" ht="15" customHeight="1" x14ac:dyDescent="0.2">
      <c r="B24" s="195" t="s">
        <v>214</v>
      </c>
      <c r="C24" s="196">
        <v>350.911</v>
      </c>
      <c r="D24" s="196">
        <v>306.24900000000002</v>
      </c>
      <c r="E24" s="155">
        <v>4.2137125564230962</v>
      </c>
      <c r="F24" s="196">
        <v>223.84299999999999</v>
      </c>
      <c r="G24" s="196">
        <v>258.61399999999998</v>
      </c>
      <c r="H24" s="163">
        <v>4.3173046579901557</v>
      </c>
    </row>
    <row r="25" spans="2:20" ht="15" customHeight="1" x14ac:dyDescent="0.2">
      <c r="B25" s="161" t="s">
        <v>215</v>
      </c>
      <c r="C25" s="196">
        <v>126.82599999999999</v>
      </c>
      <c r="D25" s="196">
        <v>134.28299999999999</v>
      </c>
      <c r="E25" s="155">
        <v>4.0789105058986914</v>
      </c>
      <c r="F25" s="196">
        <v>94.352000000000004</v>
      </c>
      <c r="G25" s="196">
        <v>124.822</v>
      </c>
      <c r="H25" s="163">
        <v>4.5494944755880091</v>
      </c>
    </row>
    <row r="26" spans="2:20" ht="15" customHeight="1" x14ac:dyDescent="0.2">
      <c r="B26" s="161" t="s">
        <v>216</v>
      </c>
      <c r="C26" s="196">
        <v>123.586</v>
      </c>
      <c r="D26" s="196">
        <v>158.9</v>
      </c>
      <c r="E26" s="155">
        <v>4.3689195101165881</v>
      </c>
      <c r="F26" s="196">
        <v>98.968999999999994</v>
      </c>
      <c r="G26" s="196">
        <v>158.84700000000001</v>
      </c>
      <c r="H26" s="163">
        <v>4.6593529531996527</v>
      </c>
    </row>
    <row r="27" spans="2:20" ht="15" customHeight="1" x14ac:dyDescent="0.2">
      <c r="B27" s="161" t="s">
        <v>217</v>
      </c>
      <c r="C27" s="196">
        <v>322.27499999999998</v>
      </c>
      <c r="D27" s="196">
        <v>611.03700000000003</v>
      </c>
      <c r="E27" s="155">
        <v>5.1784648953594772</v>
      </c>
      <c r="F27" s="196">
        <v>280.02</v>
      </c>
      <c r="G27" s="196">
        <v>666.09500000000003</v>
      </c>
      <c r="H27" s="163">
        <v>5.0581373822927862</v>
      </c>
    </row>
    <row r="28" spans="2:20" ht="15" customHeight="1" x14ac:dyDescent="0.2">
      <c r="B28" s="161" t="s">
        <v>218</v>
      </c>
      <c r="C28" s="196">
        <v>262.666</v>
      </c>
      <c r="D28" s="196">
        <v>909.31700000000001</v>
      </c>
      <c r="E28" s="155">
        <v>6.2302218509445941</v>
      </c>
      <c r="F28" s="196">
        <v>264.31299999999999</v>
      </c>
      <c r="G28" s="196">
        <v>1056.203</v>
      </c>
      <c r="H28" s="163">
        <v>5.790416763027066</v>
      </c>
    </row>
    <row r="29" spans="2:20" ht="15" customHeight="1" x14ac:dyDescent="0.2">
      <c r="B29" s="161" t="s">
        <v>219</v>
      </c>
      <c r="C29" s="196">
        <v>96.781999999999996</v>
      </c>
      <c r="D29" s="196">
        <v>427.24</v>
      </c>
      <c r="E29" s="155">
        <v>6.9473234888569531</v>
      </c>
      <c r="F29" s="196">
        <v>106.401</v>
      </c>
      <c r="G29" s="196">
        <v>505.75400000000002</v>
      </c>
      <c r="H29" s="163">
        <v>6.4799356449087577</v>
      </c>
    </row>
    <row r="30" spans="2:20" ht="15" customHeight="1" x14ac:dyDescent="0.2">
      <c r="B30" s="161" t="s">
        <v>220</v>
      </c>
      <c r="C30" s="196">
        <v>44.2</v>
      </c>
      <c r="D30" s="196">
        <v>198.79300000000001</v>
      </c>
      <c r="E30" s="155">
        <v>8.5066740166873771</v>
      </c>
      <c r="F30" s="196">
        <v>49.097000000000001</v>
      </c>
      <c r="G30" s="196">
        <v>233.755</v>
      </c>
      <c r="H30" s="163">
        <v>7.7339423044201885</v>
      </c>
    </row>
    <row r="31" spans="2:20" ht="15" customHeight="1" x14ac:dyDescent="0.2">
      <c r="B31" s="161" t="s">
        <v>221</v>
      </c>
      <c r="C31" s="196">
        <v>30.387</v>
      </c>
      <c r="D31" s="196">
        <v>212.119</v>
      </c>
      <c r="E31" s="155">
        <v>11.757865025323465</v>
      </c>
      <c r="F31" s="196">
        <v>34.457999999999998</v>
      </c>
      <c r="G31" s="196">
        <v>260.327</v>
      </c>
      <c r="H31" s="163">
        <v>12.001305327693741</v>
      </c>
    </row>
    <row r="32" spans="2:20" ht="15" customHeight="1" x14ac:dyDescent="0.2">
      <c r="B32" s="197" t="s">
        <v>80</v>
      </c>
      <c r="C32" s="198">
        <v>1357.6379999999999</v>
      </c>
      <c r="D32" s="198">
        <v>2957.9369999999999</v>
      </c>
      <c r="E32" s="199">
        <v>4.9175326735365372</v>
      </c>
      <c r="F32" s="198">
        <v>1151.4490000000001</v>
      </c>
      <c r="G32" s="198">
        <v>3264.904</v>
      </c>
      <c r="H32" s="200">
        <v>4.7723267050589984</v>
      </c>
    </row>
    <row r="35" spans="2:8" ht="15" customHeight="1" x14ac:dyDescent="0.2">
      <c r="B35" s="1105" t="s">
        <v>213</v>
      </c>
      <c r="C35" s="1103" t="s">
        <v>225</v>
      </c>
      <c r="D35" s="1103"/>
      <c r="E35" s="1103"/>
      <c r="F35" s="1103" t="s">
        <v>226</v>
      </c>
      <c r="G35" s="1103"/>
      <c r="H35" s="1104"/>
    </row>
    <row r="36" spans="2:8" ht="15" customHeight="1" x14ac:dyDescent="0.2">
      <c r="B36" s="1106"/>
      <c r="C36" s="308" t="s">
        <v>78</v>
      </c>
      <c r="D36" s="1101" t="s">
        <v>79</v>
      </c>
      <c r="E36" s="1101"/>
      <c r="F36" s="308" t="s">
        <v>78</v>
      </c>
      <c r="G36" s="1101" t="s">
        <v>79</v>
      </c>
      <c r="H36" s="1102"/>
    </row>
    <row r="37" spans="2:8" ht="30" customHeight="1" x14ac:dyDescent="0.2">
      <c r="B37" s="1106"/>
      <c r="C37" s="1090" t="s">
        <v>326</v>
      </c>
      <c r="D37" s="1090"/>
      <c r="E37" s="151" t="s">
        <v>82</v>
      </c>
      <c r="F37" s="1090" t="s">
        <v>326</v>
      </c>
      <c r="G37" s="1090"/>
      <c r="H37" s="152" t="s">
        <v>82</v>
      </c>
    </row>
    <row r="38" spans="2:8" ht="15" customHeight="1" x14ac:dyDescent="0.2">
      <c r="B38" s="153" t="str">
        <f>Index!$B$4</f>
        <v>England</v>
      </c>
      <c r="C38" s="154"/>
      <c r="D38" s="154"/>
      <c r="E38" s="154"/>
      <c r="F38" s="154"/>
      <c r="G38" s="154"/>
      <c r="H38" s="154"/>
    </row>
    <row r="39" spans="2:8" ht="15" customHeight="1" x14ac:dyDescent="0.2">
      <c r="B39" s="195" t="s">
        <v>214</v>
      </c>
      <c r="C39" s="196">
        <v>199.72300000000001</v>
      </c>
      <c r="D39" s="196">
        <v>218.71</v>
      </c>
      <c r="E39" s="155">
        <v>6.0268091647787534</v>
      </c>
      <c r="F39" s="196">
        <v>173.99700000000001</v>
      </c>
      <c r="G39" s="196">
        <v>197.63399999999999</v>
      </c>
      <c r="H39" s="163">
        <v>6.2392013150494332</v>
      </c>
    </row>
    <row r="40" spans="2:8" ht="15" customHeight="1" x14ac:dyDescent="0.2">
      <c r="B40" s="161" t="s">
        <v>215</v>
      </c>
      <c r="C40" s="196">
        <v>87.96</v>
      </c>
      <c r="D40" s="196">
        <v>105.973</v>
      </c>
      <c r="E40" s="155">
        <v>6.5477668508058668</v>
      </c>
      <c r="F40" s="196">
        <v>81.563000000000002</v>
      </c>
      <c r="G40" s="196">
        <v>94.126000000000005</v>
      </c>
      <c r="H40" s="163">
        <v>6.2398624706583306</v>
      </c>
    </row>
    <row r="41" spans="2:8" ht="15" customHeight="1" x14ac:dyDescent="0.2">
      <c r="B41" s="161" t="s">
        <v>216</v>
      </c>
      <c r="C41" s="196">
        <v>94.641000000000005</v>
      </c>
      <c r="D41" s="196">
        <v>136.506</v>
      </c>
      <c r="E41" s="155">
        <v>6.5097404326812409</v>
      </c>
      <c r="F41" s="196">
        <v>90.241</v>
      </c>
      <c r="G41" s="196">
        <v>116.515</v>
      </c>
      <c r="H41" s="163">
        <v>6.4794205456694662</v>
      </c>
    </row>
    <row r="42" spans="2:8" ht="15" customHeight="1" x14ac:dyDescent="0.2">
      <c r="B42" s="161" t="s">
        <v>217</v>
      </c>
      <c r="C42" s="196">
        <v>283.464</v>
      </c>
      <c r="D42" s="196">
        <v>612.10400000000004</v>
      </c>
      <c r="E42" s="155">
        <v>5.9479820539123889</v>
      </c>
      <c r="F42" s="196">
        <v>288.11099999999999</v>
      </c>
      <c r="G42" s="196">
        <v>546.71699999999998</v>
      </c>
      <c r="H42" s="163">
        <v>6.110278724586351</v>
      </c>
    </row>
    <row r="43" spans="2:8" ht="15" customHeight="1" x14ac:dyDescent="0.2">
      <c r="B43" s="161" t="s">
        <v>218</v>
      </c>
      <c r="C43" s="196">
        <v>264.85500000000002</v>
      </c>
      <c r="D43" s="196">
        <v>995.98900000000003</v>
      </c>
      <c r="E43" s="155">
        <v>5.790423395517486</v>
      </c>
      <c r="F43" s="196">
        <v>291.87200000000001</v>
      </c>
      <c r="G43" s="196">
        <v>1003</v>
      </c>
      <c r="H43" s="163">
        <v>6.0292602696067723</v>
      </c>
    </row>
    <row r="44" spans="2:8" ht="15" customHeight="1" x14ac:dyDescent="0.2">
      <c r="B44" s="161" t="s">
        <v>219</v>
      </c>
      <c r="C44" s="196">
        <v>103.551</v>
      </c>
      <c r="D44" s="196">
        <v>467.54599999999999</v>
      </c>
      <c r="E44" s="155">
        <v>6.4781968720695868</v>
      </c>
      <c r="F44" s="196">
        <v>115.05200000000001</v>
      </c>
      <c r="G44" s="196">
        <v>534.66800000000001</v>
      </c>
      <c r="H44" s="163">
        <v>6.4427547001454712</v>
      </c>
    </row>
    <row r="45" spans="2:8" ht="15" customHeight="1" x14ac:dyDescent="0.2">
      <c r="B45" s="161" t="s">
        <v>220</v>
      </c>
      <c r="C45" s="196">
        <v>48.744</v>
      </c>
      <c r="D45" s="196">
        <v>213.506</v>
      </c>
      <c r="E45" s="155">
        <v>7.7647493095931104</v>
      </c>
      <c r="F45" s="196">
        <v>52.606999999999999</v>
      </c>
      <c r="G45" s="196">
        <v>267.12299999999999</v>
      </c>
      <c r="H45" s="163">
        <v>7.092221003976432</v>
      </c>
    </row>
    <row r="46" spans="2:8" ht="15" customHeight="1" x14ac:dyDescent="0.2">
      <c r="B46" s="161" t="s">
        <v>221</v>
      </c>
      <c r="C46" s="196">
        <v>39.999000000000002</v>
      </c>
      <c r="D46" s="196">
        <v>205.92699999999999</v>
      </c>
      <c r="E46" s="155">
        <v>9.9452841668398904</v>
      </c>
      <c r="F46" s="196">
        <v>52.670999999999999</v>
      </c>
      <c r="G46" s="196">
        <v>292.52999999999997</v>
      </c>
      <c r="H46" s="163">
        <v>9.8779512397942373</v>
      </c>
    </row>
    <row r="47" spans="2:8" ht="15" customHeight="1" x14ac:dyDescent="0.2">
      <c r="B47" s="197" t="s">
        <v>80</v>
      </c>
      <c r="C47" s="198">
        <v>1122.9359999999999</v>
      </c>
      <c r="D47" s="198">
        <v>2956.4490000000001</v>
      </c>
      <c r="E47" s="199">
        <v>5.0877422572868625</v>
      </c>
      <c r="F47" s="198">
        <v>1146.115</v>
      </c>
      <c r="G47" s="198">
        <v>3052.6990000000001</v>
      </c>
      <c r="H47" s="200">
        <v>5.1812754658331821</v>
      </c>
    </row>
    <row r="50" spans="2:8" ht="15" customHeight="1" x14ac:dyDescent="0.2">
      <c r="B50" s="1105" t="s">
        <v>213</v>
      </c>
      <c r="C50" s="1103" t="s">
        <v>227</v>
      </c>
      <c r="D50" s="1103"/>
      <c r="E50" s="1103"/>
      <c r="F50" s="1103" t="s">
        <v>228</v>
      </c>
      <c r="G50" s="1103"/>
      <c r="H50" s="1104"/>
    </row>
    <row r="51" spans="2:8" ht="15" customHeight="1" x14ac:dyDescent="0.2">
      <c r="B51" s="1106"/>
      <c r="C51" s="308" t="s">
        <v>78</v>
      </c>
      <c r="D51" s="1101" t="s">
        <v>79</v>
      </c>
      <c r="E51" s="1101"/>
      <c r="F51" s="308" t="s">
        <v>78</v>
      </c>
      <c r="G51" s="1101" t="s">
        <v>79</v>
      </c>
      <c r="H51" s="1102"/>
    </row>
    <row r="52" spans="2:8" ht="30" customHeight="1" x14ac:dyDescent="0.2">
      <c r="B52" s="1106"/>
      <c r="C52" s="1090" t="s">
        <v>326</v>
      </c>
      <c r="D52" s="1090"/>
      <c r="E52" s="151" t="s">
        <v>82</v>
      </c>
      <c r="F52" s="1090" t="s">
        <v>326</v>
      </c>
      <c r="G52" s="1090"/>
      <c r="H52" s="152" t="s">
        <v>82</v>
      </c>
    </row>
    <row r="53" spans="2:8" ht="15" customHeight="1" x14ac:dyDescent="0.2">
      <c r="B53" s="153" t="str">
        <f>Index!$B$4</f>
        <v>England</v>
      </c>
      <c r="C53" s="154"/>
      <c r="D53" s="154"/>
      <c r="E53" s="154"/>
      <c r="F53" s="154"/>
      <c r="G53" s="154"/>
      <c r="H53" s="154"/>
    </row>
    <row r="54" spans="2:8" ht="15" customHeight="1" x14ac:dyDescent="0.2">
      <c r="B54" s="195" t="s">
        <v>214</v>
      </c>
      <c r="C54" s="196">
        <v>174.773</v>
      </c>
      <c r="D54" s="196">
        <v>190.089</v>
      </c>
      <c r="E54" s="155">
        <v>6.4896844930568145</v>
      </c>
      <c r="F54" s="196">
        <v>200.19900000000001</v>
      </c>
      <c r="G54" s="196">
        <v>246.91399999999999</v>
      </c>
      <c r="H54" s="163">
        <v>7.6323603214441675</v>
      </c>
    </row>
    <row r="55" spans="2:8" ht="15" customHeight="1" x14ac:dyDescent="0.2">
      <c r="B55" s="161" t="s">
        <v>215</v>
      </c>
      <c r="C55" s="196">
        <v>75.882000000000005</v>
      </c>
      <c r="D55" s="196">
        <v>85.8</v>
      </c>
      <c r="E55" s="155">
        <v>7.8789773713315663</v>
      </c>
      <c r="F55" s="196">
        <v>71.855000000000004</v>
      </c>
      <c r="G55" s="196">
        <v>82.75</v>
      </c>
      <c r="H55" s="163">
        <v>11.032689907935122</v>
      </c>
    </row>
    <row r="56" spans="2:8" ht="15" customHeight="1" x14ac:dyDescent="0.2">
      <c r="B56" s="161" t="s">
        <v>216</v>
      </c>
      <c r="C56" s="196">
        <v>82.91</v>
      </c>
      <c r="D56" s="196">
        <v>105.273</v>
      </c>
      <c r="E56" s="155">
        <v>7.9255927367617698</v>
      </c>
      <c r="F56" s="196">
        <v>75.179000000000002</v>
      </c>
      <c r="G56" s="196">
        <v>94.59</v>
      </c>
      <c r="H56" s="163">
        <v>10.678604018837438</v>
      </c>
    </row>
    <row r="57" spans="2:8" ht="15" customHeight="1" x14ac:dyDescent="0.2">
      <c r="B57" s="161" t="s">
        <v>217</v>
      </c>
      <c r="C57" s="196">
        <v>268.77499999999998</v>
      </c>
      <c r="D57" s="196">
        <v>506.61099999999999</v>
      </c>
      <c r="E57" s="155">
        <v>7.8117698939623388</v>
      </c>
      <c r="F57" s="196">
        <v>241.45</v>
      </c>
      <c r="G57" s="196">
        <v>401.64800000000002</v>
      </c>
      <c r="H57" s="163">
        <v>9.2988981751448669</v>
      </c>
    </row>
    <row r="58" spans="2:8" ht="15" customHeight="1" x14ac:dyDescent="0.2">
      <c r="B58" s="161" t="s">
        <v>218</v>
      </c>
      <c r="C58" s="196">
        <v>288.476</v>
      </c>
      <c r="D58" s="196">
        <v>992.71100000000001</v>
      </c>
      <c r="E58" s="155">
        <v>7.0185728028086123</v>
      </c>
      <c r="F58" s="196">
        <v>279.99099999999999</v>
      </c>
      <c r="G58" s="196">
        <v>705.93899999999996</v>
      </c>
      <c r="H58" s="163">
        <v>7.7742799135672529</v>
      </c>
    </row>
    <row r="59" spans="2:8" ht="15" customHeight="1" x14ac:dyDescent="0.2">
      <c r="B59" s="161" t="s">
        <v>219</v>
      </c>
      <c r="C59" s="196">
        <v>110.9</v>
      </c>
      <c r="D59" s="196">
        <v>522.78399999999999</v>
      </c>
      <c r="E59" s="155">
        <v>6.4814221619105865</v>
      </c>
      <c r="F59" s="196">
        <v>118.602</v>
      </c>
      <c r="G59" s="196">
        <v>365.41500000000002</v>
      </c>
      <c r="H59" s="163">
        <v>7.191678159147985</v>
      </c>
    </row>
    <row r="60" spans="2:8" ht="15" customHeight="1" x14ac:dyDescent="0.2">
      <c r="B60" s="161" t="s">
        <v>220</v>
      </c>
      <c r="C60" s="196">
        <v>47.045000000000002</v>
      </c>
      <c r="D60" s="196">
        <v>247.97900000000001</v>
      </c>
      <c r="E60" s="155">
        <v>6.8567992317793856</v>
      </c>
      <c r="F60" s="196">
        <v>53.505000000000003</v>
      </c>
      <c r="G60" s="196">
        <v>175.322</v>
      </c>
      <c r="H60" s="163">
        <v>7.9564990156073137</v>
      </c>
    </row>
    <row r="61" spans="2:8" ht="15" customHeight="1" x14ac:dyDescent="0.2">
      <c r="B61" s="161" t="s">
        <v>221</v>
      </c>
      <c r="C61" s="196">
        <v>46.029000000000003</v>
      </c>
      <c r="D61" s="196">
        <v>259.15800000000002</v>
      </c>
      <c r="E61" s="155">
        <v>8.6881066406166028</v>
      </c>
      <c r="F61" s="196">
        <v>59.576999999999998</v>
      </c>
      <c r="G61" s="196">
        <v>200.16499999999999</v>
      </c>
      <c r="H61" s="163">
        <v>9.377455784701219</v>
      </c>
    </row>
    <row r="62" spans="2:8" ht="15" customHeight="1" x14ac:dyDescent="0.2">
      <c r="B62" s="197" t="s">
        <v>80</v>
      </c>
      <c r="C62" s="198">
        <v>1094.79</v>
      </c>
      <c r="D62" s="198">
        <v>2910.4050000000002</v>
      </c>
      <c r="E62" s="199">
        <v>5.8810833804531484</v>
      </c>
      <c r="F62" s="198">
        <v>1100.3589999999999</v>
      </c>
      <c r="G62" s="198">
        <v>2272.7440000000001</v>
      </c>
      <c r="H62" s="200">
        <v>6.3794291254089313</v>
      </c>
    </row>
  </sheetData>
  <mergeCells count="40">
    <mergeCell ref="C52:D52"/>
    <mergeCell ref="F52:G52"/>
    <mergeCell ref="B50:B52"/>
    <mergeCell ref="C50:E50"/>
    <mergeCell ref="F50:H50"/>
    <mergeCell ref="D51:E51"/>
    <mergeCell ref="G51:H51"/>
    <mergeCell ref="G36:H36"/>
    <mergeCell ref="D36:E36"/>
    <mergeCell ref="B35:B37"/>
    <mergeCell ref="F35:H35"/>
    <mergeCell ref="C35:E35"/>
    <mergeCell ref="F37:G37"/>
    <mergeCell ref="C37:D37"/>
    <mergeCell ref="F22:G22"/>
    <mergeCell ref="R5:T5"/>
    <mergeCell ref="G6:H6"/>
    <mergeCell ref="B20:B22"/>
    <mergeCell ref="C20:E20"/>
    <mergeCell ref="F20:H20"/>
    <mergeCell ref="D21:E21"/>
    <mergeCell ref="G21:H21"/>
    <mergeCell ref="C22:D22"/>
    <mergeCell ref="B5:B7"/>
    <mergeCell ref="F5:H5"/>
    <mergeCell ref="I5:K5"/>
    <mergeCell ref="L5:N5"/>
    <mergeCell ref="O5:Q5"/>
    <mergeCell ref="C5:E5"/>
    <mergeCell ref="D6:E6"/>
    <mergeCell ref="C7:D7"/>
    <mergeCell ref="F7:G7"/>
    <mergeCell ref="I7:J7"/>
    <mergeCell ref="L7:M7"/>
    <mergeCell ref="O7:P7"/>
    <mergeCell ref="J6:K6"/>
    <mergeCell ref="M6:N6"/>
    <mergeCell ref="P6:Q6"/>
    <mergeCell ref="R7:S7"/>
    <mergeCell ref="S6:T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09EA0693-967B-4D41-9022-D0A6931D4F88}">
            <xm:f>IF($E9&gt;Sheet1!$F$4,1,)</xm:f>
            <x14:dxf>
              <font>
                <color rgb="FF808080"/>
              </font>
              <numFmt numFmtId="2" formatCode="0.00"/>
            </x14:dxf>
          </x14:cfRule>
          <xm:sqref>D9:E17</xm:sqref>
        </x14:conditionalFormatting>
        <x14:conditionalFormatting xmlns:xm="http://schemas.microsoft.com/office/excel/2006/main">
          <x14:cfRule type="expression" priority="21" id="{85CBCD6E-4B42-4785-B203-B7052B699929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20" id="{3D55225D-B80B-4C8D-A068-CAF9F30FFE6D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19" id="{4330A61D-A85D-4FDB-A135-3C94EB3F2445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18" id="{D780CCF9-599C-4391-BFE3-29BE37B297A3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17" id="{E96D8D71-7BBE-479F-9261-2F3D61B272B9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9" id="{C9D468DB-A0B5-4F01-BFDC-611E5D545276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8" id="{6988DC64-89D3-4482-AFD9-70DC7B8EAE28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cellIs" priority="10" operator="between" id="{A215588D-EE49-493C-A55C-494509995DF9}">
            <xm:f>Sheet1!$D$4</xm:f>
            <xm:f>Sheet1!$E$4</xm:f>
            <x14:dxf>
              <numFmt numFmtId="173" formatCode="&quot;&lt; 1&quot;"/>
            </x14:dxf>
          </x14:cfRule>
          <xm:sqref>C9:D17 F9:G17 I9:J17 L9:M17 O9:P17 R9:S17</xm:sqref>
        </x14:conditionalFormatting>
        <x14:conditionalFormatting xmlns:xm="http://schemas.microsoft.com/office/excel/2006/main">
          <x14:cfRule type="cellIs" priority="7" operator="between" id="{58D21B95-2484-4517-974B-731A3E75FCAB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expression" priority="6" id="{8E128216-21B8-422F-9C74-D705A12D764C}">
            <xm:f>IF($E39&gt;Sheet1!$F$4,1,)</xm:f>
            <x14:dxf>
              <font>
                <color rgb="FF808080"/>
              </font>
              <numFmt numFmtId="2" formatCode="0.00"/>
            </x14:dxf>
          </x14:cfRule>
          <xm:sqref>D39:E47</xm:sqref>
        </x14:conditionalFormatting>
        <x14:conditionalFormatting xmlns:xm="http://schemas.microsoft.com/office/excel/2006/main">
          <x14:cfRule type="expression" priority="5" id="{DB96DE89-382E-4E5F-BA7D-2861B1040570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4" operator="between" id="{A16F72A6-C666-4874-98EC-6FA97B285D40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expression" priority="3" id="{EF8D78F7-0FB5-4941-B8A4-12C910DD3C8F}">
            <xm:f>IF($E54&gt;Sheet1!$F$4,1,)</xm:f>
            <x14:dxf>
              <font>
                <color rgb="FF808080"/>
              </font>
              <numFmt numFmtId="2" formatCode="0.00"/>
            </x14:dxf>
          </x14:cfRule>
          <xm:sqref>D54:E62</xm:sqref>
        </x14:conditionalFormatting>
        <x14:conditionalFormatting xmlns:xm="http://schemas.microsoft.com/office/excel/2006/main">
          <x14:cfRule type="expression" priority="2" id="{81A6BAB7-4625-4E24-9CD9-E381434D5B84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cellIs" priority="1" operator="between" id="{38B0111E-04C1-487F-90A9-B551EED7F235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403</v>
      </c>
      <c r="C3" t="s">
        <v>868</v>
      </c>
    </row>
    <row r="5" spans="2:6" ht="15" customHeight="1" x14ac:dyDescent="0.2">
      <c r="B5" s="1107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108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53" t="str">
        <f>Index!$B$4</f>
        <v>England</v>
      </c>
      <c r="C7" s="991"/>
      <c r="D7" s="991"/>
      <c r="E7" s="991"/>
      <c r="F7" s="991"/>
    </row>
    <row r="8" spans="2:6" ht="15" customHeight="1" x14ac:dyDescent="0.2">
      <c r="B8" s="42" t="s">
        <v>332</v>
      </c>
      <c r="C8" s="43">
        <f>'Section 9 chart data'!D15</f>
        <v>25206.851999999999</v>
      </c>
      <c r="D8" s="44">
        <f>'Section 9 chart data'!J15</f>
        <v>60358.002999999997</v>
      </c>
      <c r="E8" s="148">
        <f>'Section 9 chart data'!K15</f>
        <v>2.4778473672803769</v>
      </c>
      <c r="F8" s="45">
        <f t="shared" ref="F8:F13" si="0">SUM(C8,D8)</f>
        <v>85564.854999999996</v>
      </c>
    </row>
    <row r="9" spans="2:6" ht="15" customHeight="1" x14ac:dyDescent="0.2">
      <c r="B9" s="42" t="s">
        <v>222</v>
      </c>
      <c r="C9" s="43">
        <f>'Section 9 chart data'!D16</f>
        <v>25788.648000000001</v>
      </c>
      <c r="D9" s="44">
        <f>'Section 9 chart data'!J16</f>
        <v>56343.733999999997</v>
      </c>
      <c r="E9" s="148">
        <f>'Section 9 chart data'!K16</f>
        <v>2.4858089502887339</v>
      </c>
      <c r="F9" s="45">
        <f t="shared" si="0"/>
        <v>82132.381999999998</v>
      </c>
    </row>
    <row r="10" spans="2:6" ht="15" customHeight="1" x14ac:dyDescent="0.2">
      <c r="B10" s="42" t="s">
        <v>225</v>
      </c>
      <c r="C10" s="43">
        <f>'Section 9 chart data'!D17</f>
        <v>25916.34</v>
      </c>
      <c r="D10" s="44">
        <f>'Section 9 chart data'!J17</f>
        <v>49719.667999999998</v>
      </c>
      <c r="E10" s="148">
        <f>'Section 9 chart data'!K17</f>
        <v>2.694468960883047</v>
      </c>
      <c r="F10" s="45">
        <f t="shared" si="0"/>
        <v>75636.008000000002</v>
      </c>
    </row>
    <row r="11" spans="2:6" ht="15" customHeight="1" x14ac:dyDescent="0.2">
      <c r="B11" s="42" t="s">
        <v>226</v>
      </c>
      <c r="C11" s="43">
        <f>'Section 9 chart data'!D18</f>
        <v>25851.19</v>
      </c>
      <c r="D11" s="44">
        <f>'Section 9 chart data'!J18</f>
        <v>42418.332999999999</v>
      </c>
      <c r="E11" s="148">
        <f>'Section 9 chart data'!K18</f>
        <v>2.99754067194629</v>
      </c>
      <c r="F11" s="45">
        <f t="shared" si="0"/>
        <v>68269.523000000001</v>
      </c>
    </row>
    <row r="12" spans="2:6" ht="15" customHeight="1" x14ac:dyDescent="0.2">
      <c r="B12" s="42" t="s">
        <v>227</v>
      </c>
      <c r="C12" s="43">
        <f>'Section 9 chart data'!D19</f>
        <v>25799.938999999998</v>
      </c>
      <c r="D12" s="44">
        <f>'Section 9 chart data'!J19</f>
        <v>35035.298999999999</v>
      </c>
      <c r="E12" s="148">
        <f>'Section 9 chart data'!K19</f>
        <v>3.2786599466385384</v>
      </c>
      <c r="F12" s="45">
        <f t="shared" si="0"/>
        <v>60835.237999999998</v>
      </c>
    </row>
    <row r="13" spans="2:6" ht="15" customHeight="1" x14ac:dyDescent="0.2">
      <c r="B13" s="46" t="s">
        <v>228</v>
      </c>
      <c r="C13" s="47">
        <f>'Section 9 chart data'!D20</f>
        <v>25945.727999999999</v>
      </c>
      <c r="D13" s="48">
        <f>'Section 9 chart data'!J20</f>
        <v>29809.145</v>
      </c>
      <c r="E13" s="149">
        <f>'Section 9 chart data'!K20</f>
        <v>3.3486614035387512</v>
      </c>
      <c r="F13" s="49">
        <f t="shared" si="0"/>
        <v>55754.873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CD393A4-461C-4F9F-9E59-1D214D99D058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8B25D872-5221-49BF-A422-47FF21B74B11}">
            <xm:f>Sheet1!$D$4</xm:f>
            <xm:f>Sheet1!$E$4</xm:f>
            <x14:dxf>
              <numFmt numFmtId="173" formatCode="&quot;&lt; 1&quot;"/>
            </x14:dxf>
          </x14:cfRule>
          <xm:sqref>C8:D13 F8:F13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420</v>
      </c>
      <c r="C3" t="s">
        <v>869</v>
      </c>
    </row>
    <row r="5" spans="2:6" ht="15" customHeight="1" x14ac:dyDescent="0.2">
      <c r="B5" s="1107" t="s">
        <v>229</v>
      </c>
      <c r="C5" s="40" t="s">
        <v>78</v>
      </c>
      <c r="D5" s="1057" t="s">
        <v>79</v>
      </c>
      <c r="E5" s="1057"/>
      <c r="F5" s="41" t="s">
        <v>80</v>
      </c>
    </row>
    <row r="6" spans="2:6" ht="30" customHeight="1" x14ac:dyDescent="0.2">
      <c r="B6" s="1108"/>
      <c r="C6" s="26" t="s">
        <v>326</v>
      </c>
      <c r="D6" s="26" t="s">
        <v>326</v>
      </c>
      <c r="E6" s="3" t="s">
        <v>82</v>
      </c>
      <c r="F6" s="27" t="s">
        <v>326</v>
      </c>
    </row>
    <row r="7" spans="2:6" ht="15" customHeight="1" x14ac:dyDescent="0.2">
      <c r="B7" s="153" t="str">
        <f>Index!$B$4</f>
        <v>England</v>
      </c>
      <c r="C7" s="991"/>
      <c r="D7" s="991"/>
      <c r="E7" s="991"/>
      <c r="F7" s="991"/>
    </row>
    <row r="8" spans="2:6" ht="15" customHeight="1" x14ac:dyDescent="0.2">
      <c r="B8" s="42" t="s">
        <v>332</v>
      </c>
      <c r="C8" s="43">
        <f>'Section 9 chart data'!D25</f>
        <v>1218.615</v>
      </c>
      <c r="D8" s="44">
        <f>'Section 9 chart data'!J25</f>
        <v>2181.4549999999999</v>
      </c>
      <c r="E8" s="148">
        <f>'Section 9 chart data'!K25</f>
        <v>2.2712903245285849</v>
      </c>
      <c r="F8" s="45">
        <f t="shared" ref="F8:F13" si="0">SUM(C8,D8)</f>
        <v>3400.0699999999997</v>
      </c>
    </row>
    <row r="9" spans="2:6" ht="15" customHeight="1" x14ac:dyDescent="0.2">
      <c r="B9" s="42" t="s">
        <v>222</v>
      </c>
      <c r="C9" s="43">
        <f>'Section 9 chart data'!D26</f>
        <v>1245.604</v>
      </c>
      <c r="D9" s="44">
        <f>'Section 9 chart data'!J26</f>
        <v>2035.2639999999999</v>
      </c>
      <c r="E9" s="148">
        <f>'Section 9 chart data'!K26</f>
        <v>2.4124181438927663</v>
      </c>
      <c r="F9" s="45">
        <f t="shared" si="0"/>
        <v>3280.8679999999999</v>
      </c>
    </row>
    <row r="10" spans="2:6" ht="15" customHeight="1" x14ac:dyDescent="0.2">
      <c r="B10" s="42" t="s">
        <v>225</v>
      </c>
      <c r="C10" s="43">
        <f>'Section 9 chart data'!D27</f>
        <v>1158.376</v>
      </c>
      <c r="D10" s="44">
        <f>'Section 9 chart data'!J27</f>
        <v>1746.633</v>
      </c>
      <c r="E10" s="148">
        <f>'Section 9 chart data'!K27</f>
        <v>2.6934111673133252</v>
      </c>
      <c r="F10" s="45">
        <f t="shared" si="0"/>
        <v>2905.009</v>
      </c>
    </row>
    <row r="11" spans="2:6" ht="15" customHeight="1" x14ac:dyDescent="0.2">
      <c r="B11" s="42" t="s">
        <v>226</v>
      </c>
      <c r="C11" s="43">
        <f>'Section 9 chart data'!D28</f>
        <v>1133.123</v>
      </c>
      <c r="D11" s="44">
        <f>'Section 9 chart data'!J28</f>
        <v>1547.9090000000001</v>
      </c>
      <c r="E11" s="148">
        <f>'Section 9 chart data'!K28</f>
        <v>2.8718246800328839</v>
      </c>
      <c r="F11" s="45">
        <f t="shared" si="0"/>
        <v>2681.0320000000002</v>
      </c>
    </row>
    <row r="12" spans="2:6" ht="15" customHeight="1" x14ac:dyDescent="0.2">
      <c r="B12" s="42" t="s">
        <v>227</v>
      </c>
      <c r="C12" s="43">
        <f>'Section 9 chart data'!D29</f>
        <v>1113.4159999999999</v>
      </c>
      <c r="D12" s="44">
        <f>'Section 9 chart data'!J29</f>
        <v>1406.9659999999999</v>
      </c>
      <c r="E12" s="148">
        <f>'Section 9 chart data'!K29</f>
        <v>2.986483809187698</v>
      </c>
      <c r="F12" s="45">
        <f t="shared" si="0"/>
        <v>2520.3819999999996</v>
      </c>
    </row>
    <row r="13" spans="2:6" ht="15" customHeight="1" x14ac:dyDescent="0.2">
      <c r="B13" s="46" t="s">
        <v>228</v>
      </c>
      <c r="C13" s="47">
        <f>'Section 9 chart data'!D30</f>
        <v>1127.173</v>
      </c>
      <c r="D13" s="48">
        <f>'Section 9 chart data'!J30</f>
        <v>1406.7560000000001</v>
      </c>
      <c r="E13" s="149">
        <f>'Section 9 chart data'!K30</f>
        <v>2.8924658715510452</v>
      </c>
      <c r="F13" s="49">
        <f t="shared" si="0"/>
        <v>2533.9290000000001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E533BBB-CC77-42DC-85AC-567562BFF083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5C7F6489-B298-40D7-A560-9CE273F2DADA}">
            <xm:f>Sheet1!$D$4</xm:f>
            <xm:f>Sheet1!$E$4</xm:f>
            <x14:dxf>
              <numFmt numFmtId="173" formatCode="&quot;&lt; 1&quot;"/>
            </x14:dxf>
          </x14:cfRule>
          <xm:sqref>C8:D13 F8:F13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3:T82"/>
  <sheetViews>
    <sheetView zoomScaleNormal="100" workbookViewId="0"/>
  </sheetViews>
  <sheetFormatPr defaultRowHeight="15" customHeight="1" x14ac:dyDescent="0.2"/>
  <cols>
    <col min="2" max="2" width="25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</cols>
  <sheetData>
    <row r="3" spans="2:20" ht="15" customHeight="1" x14ac:dyDescent="0.2">
      <c r="B3" t="s">
        <v>421</v>
      </c>
      <c r="C3" t="s">
        <v>866</v>
      </c>
    </row>
    <row r="5" spans="2:20" ht="15" customHeight="1" x14ac:dyDescent="0.2">
      <c r="B5" s="1109" t="s">
        <v>380</v>
      </c>
      <c r="C5" s="1089" t="s">
        <v>332</v>
      </c>
      <c r="D5" s="1089"/>
      <c r="E5" s="1089"/>
      <c r="F5" s="1089" t="s">
        <v>222</v>
      </c>
      <c r="G5" s="1089"/>
      <c r="H5" s="1089"/>
      <c r="I5" s="1018" t="s">
        <v>225</v>
      </c>
      <c r="J5" s="1019"/>
      <c r="K5" s="1021"/>
      <c r="L5" s="1018" t="s">
        <v>226</v>
      </c>
      <c r="M5" s="1019"/>
      <c r="N5" s="1021"/>
      <c r="O5" s="1018" t="s">
        <v>227</v>
      </c>
      <c r="P5" s="1019"/>
      <c r="Q5" s="1021"/>
      <c r="R5" s="1018" t="s">
        <v>228</v>
      </c>
      <c r="S5" s="1019"/>
      <c r="T5" s="1021"/>
    </row>
    <row r="6" spans="2:20" ht="15" customHeight="1" x14ac:dyDescent="0.2">
      <c r="B6" s="1110"/>
      <c r="C6" s="732" t="s">
        <v>78</v>
      </c>
      <c r="D6" s="1091" t="s">
        <v>79</v>
      </c>
      <c r="E6" s="1091"/>
      <c r="F6" s="732" t="s">
        <v>78</v>
      </c>
      <c r="G6" s="1091" t="s">
        <v>79</v>
      </c>
      <c r="H6" s="1091"/>
      <c r="I6" s="732" t="s">
        <v>78</v>
      </c>
      <c r="J6" s="1013" t="s">
        <v>79</v>
      </c>
      <c r="K6" s="1020"/>
      <c r="L6" s="732" t="s">
        <v>78</v>
      </c>
      <c r="M6" s="1013" t="s">
        <v>79</v>
      </c>
      <c r="N6" s="1020"/>
      <c r="O6" s="732" t="s">
        <v>78</v>
      </c>
      <c r="P6" s="1013" t="s">
        <v>79</v>
      </c>
      <c r="Q6" s="1020"/>
      <c r="R6" s="732" t="s">
        <v>78</v>
      </c>
      <c r="S6" s="1013" t="s">
        <v>79</v>
      </c>
      <c r="T6" s="1020"/>
    </row>
    <row r="7" spans="2:20" ht="30" customHeight="1" x14ac:dyDescent="0.2">
      <c r="B7" s="1110"/>
      <c r="C7" s="1090" t="s">
        <v>326</v>
      </c>
      <c r="D7" s="1090"/>
      <c r="E7" s="130" t="s">
        <v>82</v>
      </c>
      <c r="F7" s="1090" t="s">
        <v>326</v>
      </c>
      <c r="G7" s="1090"/>
      <c r="H7" s="130" t="s">
        <v>82</v>
      </c>
      <c r="I7" s="1111" t="s">
        <v>326</v>
      </c>
      <c r="J7" s="1112"/>
      <c r="K7" s="130" t="s">
        <v>82</v>
      </c>
      <c r="L7" s="1111" t="s">
        <v>326</v>
      </c>
      <c r="M7" s="1112"/>
      <c r="N7" s="130" t="s">
        <v>82</v>
      </c>
      <c r="O7" s="1111" t="s">
        <v>326</v>
      </c>
      <c r="P7" s="1112"/>
      <c r="Q7" s="130" t="s">
        <v>82</v>
      </c>
      <c r="R7" s="1111" t="s">
        <v>326</v>
      </c>
      <c r="S7" s="1112"/>
      <c r="T7" s="130" t="s">
        <v>82</v>
      </c>
    </row>
    <row r="8" spans="2:20" ht="15" customHeight="1" x14ac:dyDescent="0.2">
      <c r="B8" s="759" t="str">
        <f>Index!$B$4</f>
        <v>England</v>
      </c>
      <c r="C8" s="760">
        <f>'Section 9 data country'!$C$6</f>
        <v>1357.6379999999999</v>
      </c>
      <c r="D8" s="760">
        <f>'Section 9 data country'!$C$26</f>
        <v>2957.9369999999999</v>
      </c>
      <c r="E8" s="761">
        <f>'Section 9 data country'!$D$26</f>
        <v>4.9175326735365372</v>
      </c>
      <c r="F8" s="760">
        <f>'Section 9 data country'!$F$6</f>
        <v>1146.115</v>
      </c>
      <c r="G8" s="760">
        <f>'Section 9 data country'!$E$26</f>
        <v>3264.904</v>
      </c>
      <c r="H8" s="761">
        <f>'Section 9 data country'!$F$26</f>
        <v>4.7723267050589984</v>
      </c>
      <c r="I8" s="760">
        <f>'Section 9 data country'!$E$6</f>
        <v>1122.9359999999999</v>
      </c>
      <c r="J8" s="760">
        <f>'Section 9 data country'!$G$26</f>
        <v>2956.4490000000001</v>
      </c>
      <c r="K8" s="761">
        <f>'Section 9 data country'!$H$26</f>
        <v>5.0877422572868625</v>
      </c>
      <c r="L8" s="760">
        <f>'Section 9 data country'!$F$6</f>
        <v>1146.115</v>
      </c>
      <c r="M8" s="760">
        <f>'Section 9 data country'!$I$26</f>
        <v>3052.6990000000001</v>
      </c>
      <c r="N8" s="761">
        <f>'Section 9 data country'!$J$26</f>
        <v>5.1812754658331821</v>
      </c>
      <c r="O8" s="760">
        <f>'Section 9 data country'!$G$6</f>
        <v>1094.79</v>
      </c>
      <c r="P8" s="760">
        <f>'Section 9 data country'!$K$26</f>
        <v>2910.4050000000002</v>
      </c>
      <c r="Q8" s="761">
        <f>'Section 9 data country'!$L$26</f>
        <v>5.8810833804531484</v>
      </c>
      <c r="R8" s="760">
        <f>'Section 9 data country'!$H$6</f>
        <v>1100.3589999999999</v>
      </c>
      <c r="S8" s="760">
        <f>'Section 9 data country'!$M$26</f>
        <v>2272.7440000000001</v>
      </c>
      <c r="T8" s="761">
        <f>'Section 9 data country'!$N$26</f>
        <v>6.3794291254089313</v>
      </c>
    </row>
    <row r="9" spans="2:20" ht="15" customHeight="1" x14ac:dyDescent="0.2">
      <c r="B9" s="763" t="s">
        <v>286</v>
      </c>
      <c r="C9" s="764">
        <f>'Section 9 data country'!$C$7</f>
        <v>169.035</v>
      </c>
      <c r="D9" s="764">
        <f>'Section 9 data country'!$C$27</f>
        <v>238.006</v>
      </c>
      <c r="E9" s="765">
        <f>'Section 9 data country'!$D$27</f>
        <v>18.350000000000001</v>
      </c>
      <c r="F9" s="764">
        <f>'Section 9 data country'!$F$7</f>
        <v>145.471</v>
      </c>
      <c r="G9" s="764">
        <f>'Section 9 data country'!$E$27</f>
        <v>258.863</v>
      </c>
      <c r="H9" s="765">
        <f>'Section 9 data country'!$F$27</f>
        <v>16.739999999999998</v>
      </c>
      <c r="I9" s="764">
        <f>'Section 9 data country'!$E$7</f>
        <v>143.113</v>
      </c>
      <c r="J9" s="764">
        <f>'Section 9 data country'!$G$27</f>
        <v>420.42200000000003</v>
      </c>
      <c r="K9" s="765">
        <f>'Section 9 data country'!$H$27</f>
        <v>18.03</v>
      </c>
      <c r="L9" s="764">
        <f>'Section 9 data country'!$F$7</f>
        <v>145.471</v>
      </c>
      <c r="M9" s="764">
        <f>'Section 9 data country'!$I$27</f>
        <v>350.44</v>
      </c>
      <c r="N9" s="765">
        <f>'Section 9 data country'!$J$27</f>
        <v>15.81</v>
      </c>
      <c r="O9" s="764">
        <f>'Section 9 data country'!$G$7</f>
        <v>109.753</v>
      </c>
      <c r="P9" s="764">
        <f>'Section 9 data country'!$K$27</f>
        <v>257.19099999999997</v>
      </c>
      <c r="Q9" s="765">
        <f>'Section 9 data country'!$L$27</f>
        <v>19.52</v>
      </c>
      <c r="R9" s="764">
        <f>'Section 9 data country'!$H$7</f>
        <v>130.58199999999999</v>
      </c>
      <c r="S9" s="764">
        <f>'Section 9 data country'!$M$27</f>
        <v>166.393</v>
      </c>
      <c r="T9" s="765">
        <f>'Section 9 data country'!$N$27</f>
        <v>14.57</v>
      </c>
    </row>
    <row r="10" spans="2:20" ht="15" customHeight="1" x14ac:dyDescent="0.2">
      <c r="B10" s="763" t="s">
        <v>298</v>
      </c>
      <c r="C10" s="764">
        <f>'Section 9 data country'!$C$8</f>
        <v>75.849000000000004</v>
      </c>
      <c r="D10" s="764">
        <f>'Section 9 data country'!$C$28</f>
        <v>330.42700000000002</v>
      </c>
      <c r="E10" s="765">
        <f>'Section 9 data country'!$D$28</f>
        <v>17.149999999999999</v>
      </c>
      <c r="F10" s="764">
        <f>'Section 9 data country'!$F$8</f>
        <v>92.063000000000002</v>
      </c>
      <c r="G10" s="764">
        <f>'Section 9 data country'!$E$28</f>
        <v>520.34100000000001</v>
      </c>
      <c r="H10" s="765">
        <f>'Section 9 data country'!$F$28</f>
        <v>15.88</v>
      </c>
      <c r="I10" s="764">
        <f>'Section 9 data country'!$E$8</f>
        <v>72.724000000000004</v>
      </c>
      <c r="J10" s="764">
        <f>'Section 9 data country'!$G$28</f>
        <v>232.18</v>
      </c>
      <c r="K10" s="765">
        <f>'Section 9 data country'!$H$28</f>
        <v>11.5</v>
      </c>
      <c r="L10" s="764">
        <f>'Section 9 data country'!$F$8</f>
        <v>92.063000000000002</v>
      </c>
      <c r="M10" s="764">
        <f>'Section 9 data country'!$I$28</f>
        <v>212.33600000000001</v>
      </c>
      <c r="N10" s="765">
        <f>'Section 9 data country'!$J$28</f>
        <v>14.74</v>
      </c>
      <c r="O10" s="764">
        <f>'Section 9 data country'!$G$8</f>
        <v>76.516999999999996</v>
      </c>
      <c r="P10" s="764">
        <f>'Section 9 data country'!$K$28</f>
        <v>227.797</v>
      </c>
      <c r="Q10" s="765">
        <f>'Section 9 data country'!$L$28</f>
        <v>14.85</v>
      </c>
      <c r="R10" s="764">
        <f>'Section 9 data country'!$H$8</f>
        <v>89.004999999999995</v>
      </c>
      <c r="S10" s="764">
        <f>'Section 9 data country'!$M$28</f>
        <v>166.84</v>
      </c>
      <c r="T10" s="765">
        <f>'Section 9 data country'!$N$28</f>
        <v>21.27</v>
      </c>
    </row>
    <row r="11" spans="2:20" ht="15" customHeight="1" x14ac:dyDescent="0.2">
      <c r="B11" s="763" t="s">
        <v>287</v>
      </c>
      <c r="C11" s="764">
        <f>'Section 9 data country'!$C$9</f>
        <v>168.267</v>
      </c>
      <c r="D11" s="764">
        <f>'Section 9 data country'!$C$29</f>
        <v>166.202</v>
      </c>
      <c r="E11" s="765">
        <f>'Section 9 data country'!$D$29</f>
        <v>11.7</v>
      </c>
      <c r="F11" s="764">
        <f>'Section 9 data country'!$F$9</f>
        <v>163.97300000000001</v>
      </c>
      <c r="G11" s="764">
        <f>'Section 9 data country'!$E$29</f>
        <v>201.37</v>
      </c>
      <c r="H11" s="765">
        <f>'Section 9 data country'!$F$29</f>
        <v>13.18</v>
      </c>
      <c r="I11" s="764">
        <f>'Section 9 data country'!$E$9</f>
        <v>142.75700000000001</v>
      </c>
      <c r="J11" s="764">
        <f>'Section 9 data country'!$G$29</f>
        <v>164.31299999999999</v>
      </c>
      <c r="K11" s="765">
        <f>'Section 9 data country'!$H$29</f>
        <v>17.68</v>
      </c>
      <c r="L11" s="764">
        <f>'Section 9 data country'!$F$9</f>
        <v>163.97300000000001</v>
      </c>
      <c r="M11" s="764">
        <f>'Section 9 data country'!$I$29</f>
        <v>251.798</v>
      </c>
      <c r="N11" s="765">
        <f>'Section 9 data country'!$J$29</f>
        <v>18.3</v>
      </c>
      <c r="O11" s="764">
        <f>'Section 9 data country'!$G$9</f>
        <v>163.97300000000001</v>
      </c>
      <c r="P11" s="764">
        <f>'Section 9 data country'!$K$29</f>
        <v>269.90499999999997</v>
      </c>
      <c r="Q11" s="765">
        <f>'Section 9 data country'!$L$29</f>
        <v>16.97</v>
      </c>
      <c r="R11" s="764">
        <f>'Section 9 data country'!$H$9</f>
        <v>169.017</v>
      </c>
      <c r="S11" s="764">
        <f>'Section 9 data country'!$M$29</f>
        <v>213.79300000000001</v>
      </c>
      <c r="T11" s="765">
        <f>'Section 9 data country'!$N$29</f>
        <v>19.66</v>
      </c>
    </row>
    <row r="12" spans="2:20" ht="15" customHeight="1" x14ac:dyDescent="0.2">
      <c r="B12" s="763" t="s">
        <v>288</v>
      </c>
      <c r="C12" s="764">
        <f>'Section 9 data country'!$C$10</f>
        <v>47.417000000000002</v>
      </c>
      <c r="D12" s="764">
        <f>'Section 9 data country'!$C$30</f>
        <v>80.561999999999998</v>
      </c>
      <c r="E12" s="765">
        <f>'Section 9 data country'!$D$30</f>
        <v>17.87</v>
      </c>
      <c r="F12" s="764">
        <f>'Section 9 data country'!$F$10</f>
        <v>38.831000000000003</v>
      </c>
      <c r="G12" s="764">
        <f>'Section 9 data country'!$E$30</f>
        <v>104.88500000000001</v>
      </c>
      <c r="H12" s="765">
        <f>'Section 9 data country'!$F$30</f>
        <v>22.05</v>
      </c>
      <c r="I12" s="764">
        <f>'Section 9 data country'!$E$10</f>
        <v>45.317</v>
      </c>
      <c r="J12" s="764">
        <f>'Section 9 data country'!$G$30</f>
        <v>134.94200000000001</v>
      </c>
      <c r="K12" s="765">
        <f>'Section 9 data country'!$H$30</f>
        <v>29.77</v>
      </c>
      <c r="L12" s="764">
        <f>'Section 9 data country'!$F$10</f>
        <v>38.831000000000003</v>
      </c>
      <c r="M12" s="764">
        <f>'Section 9 data country'!$I$30</f>
        <v>136.261</v>
      </c>
      <c r="N12" s="765">
        <f>'Section 9 data country'!$J$30</f>
        <v>22.44</v>
      </c>
      <c r="O12" s="764">
        <f>'Section 9 data country'!$G$10</f>
        <v>47.055999999999997</v>
      </c>
      <c r="P12" s="764">
        <f>'Section 9 data country'!$K$30</f>
        <v>63.215000000000003</v>
      </c>
      <c r="Q12" s="765">
        <f>'Section 9 data country'!$L$30</f>
        <v>20.62</v>
      </c>
      <c r="R12" s="764">
        <f>'Section 9 data country'!$H$10</f>
        <v>33.167999999999999</v>
      </c>
      <c r="S12" s="764">
        <f>'Section 9 data country'!$M$30</f>
        <v>80.111000000000004</v>
      </c>
      <c r="T12" s="765">
        <f>'Section 9 data country'!$N$30</f>
        <v>39.979999999999997</v>
      </c>
    </row>
    <row r="13" spans="2:20" ht="15" customHeight="1" x14ac:dyDescent="0.2">
      <c r="B13" s="763" t="s">
        <v>301</v>
      </c>
      <c r="C13" s="764">
        <f>'Section 9 data country'!$C$11</f>
        <v>2.827</v>
      </c>
      <c r="D13" s="764">
        <f>'Section 9 data country'!$C$31</f>
        <v>22.687000000000001</v>
      </c>
      <c r="E13" s="765">
        <f>'Section 9 data country'!$D$31</f>
        <v>29.86</v>
      </c>
      <c r="F13" s="764">
        <f>'Section 9 data country'!$F$11</f>
        <v>4.5709999999999997</v>
      </c>
      <c r="G13" s="764">
        <f>'Section 9 data country'!$E$31</f>
        <v>47.752000000000002</v>
      </c>
      <c r="H13" s="765">
        <f>'Section 9 data country'!$F$31</f>
        <v>29.88</v>
      </c>
      <c r="I13" s="764">
        <f>'Section 9 data country'!$E$11</f>
        <v>6.3460000000000001</v>
      </c>
      <c r="J13" s="764">
        <f>'Section 9 data country'!$G$31</f>
        <v>23.611000000000001</v>
      </c>
      <c r="K13" s="765">
        <f>'Section 9 data country'!$H$31</f>
        <v>27.54</v>
      </c>
      <c r="L13" s="764">
        <f>'Section 9 data country'!$F$11</f>
        <v>4.5709999999999997</v>
      </c>
      <c r="M13" s="764">
        <f>'Section 9 data country'!$I$31</f>
        <v>29.257999999999999</v>
      </c>
      <c r="N13" s="765">
        <f>'Section 9 data country'!$J$31</f>
        <v>30.38</v>
      </c>
      <c r="O13" s="764">
        <f>'Section 9 data country'!$G$11</f>
        <v>5.9619999999999997</v>
      </c>
      <c r="P13" s="764">
        <f>'Section 9 data country'!$K$31</f>
        <v>28.265000000000001</v>
      </c>
      <c r="Q13" s="765">
        <f>'Section 9 data country'!$L$31</f>
        <v>42.71</v>
      </c>
      <c r="R13" s="764">
        <f>'Section 9 data country'!$H$11</f>
        <v>5.3179999999999996</v>
      </c>
      <c r="S13" s="764">
        <f>'Section 9 data country'!$M$31</f>
        <v>19.815999999999999</v>
      </c>
      <c r="T13" s="765">
        <f>'Section 9 data country'!$N$31</f>
        <v>32.51</v>
      </c>
    </row>
    <row r="14" spans="2:20" ht="15" customHeight="1" x14ac:dyDescent="0.2">
      <c r="B14" s="763" t="s">
        <v>302</v>
      </c>
      <c r="C14" s="764">
        <f>'Section 9 data country'!$C$12</f>
        <v>0.47899999999999998</v>
      </c>
      <c r="D14" s="764">
        <f>'Section 9 data country'!$C$32</f>
        <v>27.053000000000001</v>
      </c>
      <c r="E14" s="765">
        <f>'Section 9 data country'!$D$32</f>
        <v>17.91</v>
      </c>
      <c r="F14" s="764">
        <f>'Section 9 data country'!$F$12</f>
        <v>1.6120000000000001</v>
      </c>
      <c r="G14" s="764">
        <f>'Section 9 data country'!$E$32</f>
        <v>62.036000000000001</v>
      </c>
      <c r="H14" s="765">
        <f>'Section 9 data country'!$F$32</f>
        <v>21.65</v>
      </c>
      <c r="I14" s="764">
        <f>'Section 9 data country'!$E$12</f>
        <v>0.48699999999999999</v>
      </c>
      <c r="J14" s="764">
        <f>'Section 9 data country'!$G$32</f>
        <v>48.756999999999998</v>
      </c>
      <c r="K14" s="765">
        <f>'Section 9 data country'!$H$32</f>
        <v>30.01</v>
      </c>
      <c r="L14" s="764">
        <f>'Section 9 data country'!$F$12</f>
        <v>1.6120000000000001</v>
      </c>
      <c r="M14" s="764">
        <f>'Section 9 data country'!$I$32</f>
        <v>21.864000000000001</v>
      </c>
      <c r="N14" s="765">
        <f>'Section 9 data country'!$J$32</f>
        <v>23.89</v>
      </c>
      <c r="O14" s="764">
        <f>'Section 9 data country'!$G$12</f>
        <v>2.3420000000000001</v>
      </c>
      <c r="P14" s="764">
        <f>'Section 9 data country'!$K$32</f>
        <v>52.98</v>
      </c>
      <c r="Q14" s="765">
        <f>'Section 9 data country'!$L$32</f>
        <v>58.36</v>
      </c>
      <c r="R14" s="764">
        <f>'Section 9 data country'!$H$12</f>
        <v>8.0280000000000005</v>
      </c>
      <c r="S14" s="764">
        <f>'Section 9 data country'!$M$32</f>
        <v>58.429000000000002</v>
      </c>
      <c r="T14" s="765">
        <f>'Section 9 data country'!$N$32</f>
        <v>33.86</v>
      </c>
    </row>
    <row r="15" spans="2:20" ht="15" customHeight="1" x14ac:dyDescent="0.2">
      <c r="B15" s="763" t="s">
        <v>303</v>
      </c>
      <c r="C15" s="764">
        <f>'Section 9 data country'!$C$13</f>
        <v>13.311999999999999</v>
      </c>
      <c r="D15" s="764">
        <f>'Section 9 data country'!$C$33</f>
        <v>160.82599999999999</v>
      </c>
      <c r="E15" s="765">
        <f>'Section 9 data country'!$D$33</f>
        <v>16.54</v>
      </c>
      <c r="F15" s="764">
        <f>'Section 9 data country'!$F$13</f>
        <v>18.491</v>
      </c>
      <c r="G15" s="764">
        <f>'Section 9 data country'!$E$33</f>
        <v>139.34299999999999</v>
      </c>
      <c r="H15" s="765">
        <f>'Section 9 data country'!$F$33</f>
        <v>15.82</v>
      </c>
      <c r="I15" s="764">
        <f>'Section 9 data country'!$E$13</f>
        <v>13.680999999999999</v>
      </c>
      <c r="J15" s="764">
        <f>'Section 9 data country'!$G$33</f>
        <v>172.786</v>
      </c>
      <c r="K15" s="765">
        <f>'Section 9 data country'!$H$33</f>
        <v>18.29</v>
      </c>
      <c r="L15" s="764">
        <f>'Section 9 data country'!$F$13</f>
        <v>18.491</v>
      </c>
      <c r="M15" s="764">
        <f>'Section 9 data country'!$I$33</f>
        <v>93.953999999999994</v>
      </c>
      <c r="N15" s="765">
        <f>'Section 9 data country'!$J$33</f>
        <v>22.78</v>
      </c>
      <c r="O15" s="764">
        <f>'Section 9 data country'!$G$13</f>
        <v>19.349</v>
      </c>
      <c r="P15" s="764">
        <f>'Section 9 data country'!$K$33</f>
        <v>86.736999999999995</v>
      </c>
      <c r="Q15" s="765">
        <f>'Section 9 data country'!$L$33</f>
        <v>25.34</v>
      </c>
      <c r="R15" s="764">
        <f>'Section 9 data country'!$H$13</f>
        <v>25.274999999999999</v>
      </c>
      <c r="S15" s="764">
        <f>'Section 9 data country'!$M$33</f>
        <v>116.59699999999999</v>
      </c>
      <c r="T15" s="765">
        <f>'Section 9 data country'!$N$33</f>
        <v>22.62</v>
      </c>
    </row>
    <row r="16" spans="2:20" ht="15" customHeight="1" x14ac:dyDescent="0.2">
      <c r="B16" s="763" t="s">
        <v>304</v>
      </c>
      <c r="C16" s="764">
        <f>'Section 9 data country'!$C$14</f>
        <v>27.157</v>
      </c>
      <c r="D16" s="764">
        <f>'Section 9 data country'!$C$34</f>
        <v>67.429000000000002</v>
      </c>
      <c r="E16" s="765">
        <f>'Section 9 data country'!$D$34</f>
        <v>18.55</v>
      </c>
      <c r="F16" s="764">
        <f>'Section 9 data country'!$F$14</f>
        <v>25.933</v>
      </c>
      <c r="G16" s="764">
        <f>'Section 9 data country'!$E$34</f>
        <v>57.585000000000001</v>
      </c>
      <c r="H16" s="765">
        <f>'Section 9 data country'!$F$34</f>
        <v>18.010000000000002</v>
      </c>
      <c r="I16" s="764">
        <f>'Section 9 data country'!$E$14</f>
        <v>21.478999999999999</v>
      </c>
      <c r="J16" s="764">
        <f>'Section 9 data country'!$G$34</f>
        <v>42.152000000000001</v>
      </c>
      <c r="K16" s="765">
        <f>'Section 9 data country'!$H$34</f>
        <v>15.32</v>
      </c>
      <c r="L16" s="764">
        <f>'Section 9 data country'!$F$14</f>
        <v>25.933</v>
      </c>
      <c r="M16" s="764">
        <f>'Section 9 data country'!$I$34</f>
        <v>70.442999999999998</v>
      </c>
      <c r="N16" s="765">
        <f>'Section 9 data country'!$J$34</f>
        <v>19.45</v>
      </c>
      <c r="O16" s="764">
        <f>'Section 9 data country'!$G$14</f>
        <v>23.922000000000001</v>
      </c>
      <c r="P16" s="764">
        <f>'Section 9 data country'!$K$34</f>
        <v>80.106999999999999</v>
      </c>
      <c r="Q16" s="765">
        <f>'Section 9 data country'!$L$34</f>
        <v>22.38</v>
      </c>
      <c r="R16" s="764">
        <f>'Section 9 data country'!$H$14</f>
        <v>20.381</v>
      </c>
      <c r="S16" s="764">
        <f>'Section 9 data country'!$M$34</f>
        <v>47.362000000000002</v>
      </c>
      <c r="T16" s="765">
        <f>'Section 9 data country'!$N$34</f>
        <v>24.58</v>
      </c>
    </row>
    <row r="17" spans="2:20" ht="15" customHeight="1" x14ac:dyDescent="0.2">
      <c r="B17" s="763" t="s">
        <v>291</v>
      </c>
      <c r="C17" s="764">
        <f>'Section 9 data country'!$C$15</f>
        <v>531.601</v>
      </c>
      <c r="D17" s="764">
        <f>'Section 9 data country'!$C$35</f>
        <v>287.02800000000002</v>
      </c>
      <c r="E17" s="765">
        <f>'Section 9 data country'!$D$35</f>
        <v>18.52</v>
      </c>
      <c r="F17" s="764">
        <f>'Section 9 data country'!$F$15</f>
        <v>284.392</v>
      </c>
      <c r="G17" s="764">
        <f>'Section 9 data country'!$E$35</f>
        <v>374.25299999999999</v>
      </c>
      <c r="H17" s="765">
        <f>'Section 9 data country'!$F$35</f>
        <v>17.09</v>
      </c>
      <c r="I17" s="764">
        <f>'Section 9 data country'!$E$15</f>
        <v>306.07900000000001</v>
      </c>
      <c r="J17" s="764">
        <f>'Section 9 data country'!$G$35</f>
        <v>370.53500000000003</v>
      </c>
      <c r="K17" s="765">
        <f>'Section 9 data country'!$H$35</f>
        <v>16.57</v>
      </c>
      <c r="L17" s="764">
        <f>'Section 9 data country'!$F$15</f>
        <v>284.392</v>
      </c>
      <c r="M17" s="764">
        <f>'Section 9 data country'!$I$35</f>
        <v>488.64299999999997</v>
      </c>
      <c r="N17" s="765">
        <f>'Section 9 data country'!$J$35</f>
        <v>18.55</v>
      </c>
      <c r="O17" s="764">
        <f>'Section 9 data country'!$G$15</f>
        <v>284.07400000000001</v>
      </c>
      <c r="P17" s="764">
        <f>'Section 9 data country'!$K$35</f>
        <v>543.79</v>
      </c>
      <c r="Q17" s="765">
        <f>'Section 9 data country'!$L$35</f>
        <v>19.170000000000002</v>
      </c>
      <c r="R17" s="764">
        <f>'Section 9 data country'!$H$15</f>
        <v>239.82499999999999</v>
      </c>
      <c r="S17" s="764">
        <f>'Section 9 data country'!$M$35</f>
        <v>491.47399999999999</v>
      </c>
      <c r="T17" s="765">
        <f>'Section 9 data country'!$N$35</f>
        <v>18.88</v>
      </c>
    </row>
    <row r="18" spans="2:20" ht="15" customHeight="1" x14ac:dyDescent="0.2">
      <c r="B18" s="763" t="s">
        <v>292</v>
      </c>
      <c r="C18" s="764">
        <f>'Section 9 data country'!$C$16</f>
        <v>45.831000000000003</v>
      </c>
      <c r="D18" s="764">
        <f>'Section 9 data country'!$C$36</f>
        <v>215.75200000000001</v>
      </c>
      <c r="E18" s="765">
        <f>'Section 9 data country'!$D$36</f>
        <v>13.41</v>
      </c>
      <c r="F18" s="764">
        <f>'Section 9 data country'!$F$16</f>
        <v>60.746000000000002</v>
      </c>
      <c r="G18" s="764">
        <f>'Section 9 data country'!$E$36</f>
        <v>244.52500000000001</v>
      </c>
      <c r="H18" s="765">
        <f>'Section 9 data country'!$F$36</f>
        <v>11.17</v>
      </c>
      <c r="I18" s="764">
        <f>'Section 9 data country'!$E$16</f>
        <v>50.536000000000001</v>
      </c>
      <c r="J18" s="764">
        <f>'Section 9 data country'!$G$36</f>
        <v>207.72200000000001</v>
      </c>
      <c r="K18" s="765">
        <f>'Section 9 data country'!$H$36</f>
        <v>13.01</v>
      </c>
      <c r="L18" s="764">
        <f>'Section 9 data country'!$F$16</f>
        <v>60.746000000000002</v>
      </c>
      <c r="M18" s="764">
        <f>'Section 9 data country'!$I$36</f>
        <v>217.655</v>
      </c>
      <c r="N18" s="765">
        <f>'Section 9 data country'!$J$36</f>
        <v>13.9</v>
      </c>
      <c r="O18" s="764">
        <f>'Section 9 data country'!$G$16</f>
        <v>62.706000000000003</v>
      </c>
      <c r="P18" s="764">
        <f>'Section 9 data country'!$K$36</f>
        <v>220.10900000000001</v>
      </c>
      <c r="Q18" s="765">
        <f>'Section 9 data country'!$L$36</f>
        <v>16.22</v>
      </c>
      <c r="R18" s="764">
        <f>'Section 9 data country'!$H$16</f>
        <v>74.778000000000006</v>
      </c>
      <c r="S18" s="764">
        <f>'Section 9 data country'!$M$36</f>
        <v>136.70099999999999</v>
      </c>
      <c r="T18" s="765">
        <f>'Section 9 data country'!$N$36</f>
        <v>22.56</v>
      </c>
    </row>
    <row r="19" spans="2:20" ht="15" customHeight="1" x14ac:dyDescent="0.2">
      <c r="B19" s="763" t="s">
        <v>293</v>
      </c>
      <c r="C19" s="764">
        <f>'Section 9 data country'!$C$17</f>
        <v>6.26</v>
      </c>
      <c r="D19" s="764">
        <f>'Section 9 data country'!$C$37</f>
        <v>268.62799999999999</v>
      </c>
      <c r="E19" s="765">
        <f>'Section 9 data country'!$D$37</f>
        <v>16.62</v>
      </c>
      <c r="F19" s="764">
        <f>'Section 9 data country'!$F$17</f>
        <v>5.2220000000000004</v>
      </c>
      <c r="G19" s="764">
        <f>'Section 9 data country'!$E$37</f>
        <v>198.71100000000001</v>
      </c>
      <c r="H19" s="765">
        <f>'Section 9 data country'!$F$37</f>
        <v>11.38</v>
      </c>
      <c r="I19" s="764">
        <f>'Section 9 data country'!$E$17</f>
        <v>7.3289999999999997</v>
      </c>
      <c r="J19" s="764">
        <f>'Section 9 data country'!$G$37</f>
        <v>222.637</v>
      </c>
      <c r="K19" s="765">
        <f>'Section 9 data country'!$H$37</f>
        <v>13.71</v>
      </c>
      <c r="L19" s="764">
        <f>'Section 9 data country'!$F$17</f>
        <v>5.2220000000000004</v>
      </c>
      <c r="M19" s="764">
        <f>'Section 9 data country'!$I$37</f>
        <v>318.28699999999998</v>
      </c>
      <c r="N19" s="765">
        <f>'Section 9 data country'!$J$37</f>
        <v>14.55</v>
      </c>
      <c r="O19" s="764">
        <f>'Section 9 data country'!$G$17</f>
        <v>6.5110000000000001</v>
      </c>
      <c r="P19" s="764">
        <f>'Section 9 data country'!$K$37</f>
        <v>226.78299999999999</v>
      </c>
      <c r="Q19" s="765">
        <f>'Section 9 data country'!$L$37</f>
        <v>17.66</v>
      </c>
      <c r="R19" s="764">
        <f>'Section 9 data country'!$H$17</f>
        <v>18.823</v>
      </c>
      <c r="S19" s="764">
        <f>'Section 9 data country'!$M$37</f>
        <v>196.238</v>
      </c>
      <c r="T19" s="765">
        <f>'Section 9 data country'!$N$37</f>
        <v>22.79</v>
      </c>
    </row>
    <row r="20" spans="2:20" ht="15" customHeight="1" x14ac:dyDescent="0.2">
      <c r="B20" s="763" t="s">
        <v>294</v>
      </c>
      <c r="C20" s="764">
        <f>'Section 9 data country'!$C$18</f>
        <v>49.295000000000002</v>
      </c>
      <c r="D20" s="764">
        <f>'Section 9 data country'!$C$38</f>
        <v>352.09399999999999</v>
      </c>
      <c r="E20" s="765">
        <f>'Section 9 data country'!$D$38</f>
        <v>15.34</v>
      </c>
      <c r="F20" s="764">
        <f>'Section 9 data country'!$F$18</f>
        <v>62.314999999999998</v>
      </c>
      <c r="G20" s="764">
        <f>'Section 9 data country'!$E$38</f>
        <v>312.339</v>
      </c>
      <c r="H20" s="765">
        <f>'Section 9 data country'!$F$38</f>
        <v>13.78</v>
      </c>
      <c r="I20" s="764">
        <f>'Section 9 data country'!$E$18</f>
        <v>51.792000000000002</v>
      </c>
      <c r="J20" s="764">
        <f>'Section 9 data country'!$G$38</f>
        <v>247.75899999999999</v>
      </c>
      <c r="K20" s="765">
        <f>'Section 9 data country'!$H$38</f>
        <v>16.149999999999999</v>
      </c>
      <c r="L20" s="764">
        <f>'Section 9 data country'!$F$18</f>
        <v>62.314999999999998</v>
      </c>
      <c r="M20" s="764">
        <f>'Section 9 data country'!$I$38</f>
        <v>245.41300000000001</v>
      </c>
      <c r="N20" s="765">
        <f>'Section 9 data country'!$J$38</f>
        <v>12.48</v>
      </c>
      <c r="O20" s="764">
        <f>'Section 9 data country'!$G$18</f>
        <v>53.054000000000002</v>
      </c>
      <c r="P20" s="764">
        <f>'Section 9 data country'!$K$38</f>
        <v>187.584</v>
      </c>
      <c r="Q20" s="765">
        <f>'Section 9 data country'!$L$38</f>
        <v>13.34</v>
      </c>
      <c r="R20" s="764">
        <f>'Section 9 data country'!$H$18</f>
        <v>60.503999999999998</v>
      </c>
      <c r="S20" s="764">
        <f>'Section 9 data country'!$M$38</f>
        <v>155.52799999999999</v>
      </c>
      <c r="T20" s="765">
        <f>'Section 9 data country'!$N$38</f>
        <v>12.49</v>
      </c>
    </row>
    <row r="21" spans="2:20" ht="15" customHeight="1" x14ac:dyDescent="0.2">
      <c r="B21" s="763" t="s">
        <v>295</v>
      </c>
      <c r="C21" s="764">
        <f>'Section 9 data country'!$C$19</f>
        <v>119.86199999999999</v>
      </c>
      <c r="D21" s="764">
        <f>'Section 9 data country'!$C$39</f>
        <v>467.99599999999998</v>
      </c>
      <c r="E21" s="765">
        <f>'Section 9 data country'!$D$39</f>
        <v>15.18</v>
      </c>
      <c r="F21" s="764">
        <f>'Section 9 data country'!$F$19</f>
        <v>143.47499999999999</v>
      </c>
      <c r="G21" s="764">
        <f>'Section 9 data country'!$E$39</f>
        <v>420.09199999999998</v>
      </c>
      <c r="H21" s="765">
        <f>'Section 9 data country'!$F$39</f>
        <v>14.44</v>
      </c>
      <c r="I21" s="764">
        <f>'Section 9 data country'!$E$19</f>
        <v>145.24</v>
      </c>
      <c r="J21" s="764">
        <f>'Section 9 data country'!$G$39</f>
        <v>370.84199999999998</v>
      </c>
      <c r="K21" s="765">
        <f>'Section 9 data country'!$H$39</f>
        <v>17.559999999999999</v>
      </c>
      <c r="L21" s="764">
        <f>'Section 9 data country'!$F$19</f>
        <v>143.47499999999999</v>
      </c>
      <c r="M21" s="764">
        <f>'Section 9 data country'!$I$39</f>
        <v>286.964</v>
      </c>
      <c r="N21" s="765">
        <f>'Section 9 data country'!$J$39</f>
        <v>14.65</v>
      </c>
      <c r="O21" s="764">
        <f>'Section 9 data country'!$G$19</f>
        <v>128.51900000000001</v>
      </c>
      <c r="P21" s="764">
        <f>'Section 9 data country'!$K$39</f>
        <v>446.91</v>
      </c>
      <c r="Q21" s="765">
        <f>'Section 9 data country'!$L$39</f>
        <v>17.71</v>
      </c>
      <c r="R21" s="764">
        <f>'Section 9 data country'!$H$19</f>
        <v>131.70500000000001</v>
      </c>
      <c r="S21" s="764">
        <f>'Section 9 data country'!$M$39</f>
        <v>221.53100000000001</v>
      </c>
      <c r="T21" s="765">
        <f>'Section 9 data country'!$N$39</f>
        <v>21.03</v>
      </c>
    </row>
    <row r="22" spans="2:20" ht="15" customHeight="1" x14ac:dyDescent="0.2">
      <c r="B22" s="767" t="s">
        <v>296</v>
      </c>
      <c r="C22" s="768">
        <f>'Section 9 data country'!$C$20</f>
        <v>100.446</v>
      </c>
      <c r="D22" s="768">
        <f>'Section 9 data country'!$C$40</f>
        <v>273.24700000000001</v>
      </c>
      <c r="E22" s="769">
        <f>'Section 9 data country'!$D$40</f>
        <v>10.98</v>
      </c>
      <c r="F22" s="768">
        <f>'Section 9 data country'!$F$20</f>
        <v>99.02</v>
      </c>
      <c r="G22" s="768">
        <f>'Section 9 data country'!$E$40</f>
        <v>322.80900000000003</v>
      </c>
      <c r="H22" s="769">
        <f>'Section 9 data country'!$F$40</f>
        <v>15.41</v>
      </c>
      <c r="I22" s="768">
        <f>'Section 9 data country'!$E$20</f>
        <v>116.056</v>
      </c>
      <c r="J22" s="768">
        <f>'Section 9 data country'!$G$40</f>
        <v>297.791</v>
      </c>
      <c r="K22" s="769">
        <f>'Section 9 data country'!$H$40</f>
        <v>11.33</v>
      </c>
      <c r="L22" s="768">
        <f>'Section 9 data country'!$F$20</f>
        <v>99.02</v>
      </c>
      <c r="M22" s="768">
        <f>'Section 9 data country'!$I$40</f>
        <v>329.38299999999998</v>
      </c>
      <c r="N22" s="769">
        <f>'Section 9 data country'!$J$40</f>
        <v>17.11</v>
      </c>
      <c r="O22" s="768">
        <f>'Section 9 data country'!$G$20</f>
        <v>111.05200000000001</v>
      </c>
      <c r="P22" s="768">
        <f>'Section 9 data country'!$K$40</f>
        <v>219.03200000000001</v>
      </c>
      <c r="Q22" s="769">
        <f>'Section 9 data country'!$L$40</f>
        <v>13.09</v>
      </c>
      <c r="R22" s="768">
        <f>'Section 9 data country'!$H$20</f>
        <v>93.95</v>
      </c>
      <c r="S22" s="768">
        <f>'Section 9 data country'!$M$40</f>
        <v>201.93100000000001</v>
      </c>
      <c r="T22" s="769">
        <f>'Section 9 data country'!$N$40</f>
        <v>15.73</v>
      </c>
    </row>
    <row r="25" spans="2:20" ht="15" customHeight="1" x14ac:dyDescent="0.2">
      <c r="B25" s="1109" t="s">
        <v>380</v>
      </c>
      <c r="C25" s="1089" t="s">
        <v>332</v>
      </c>
      <c r="D25" s="1089"/>
      <c r="E25" s="1089"/>
      <c r="F25" s="1089" t="s">
        <v>222</v>
      </c>
      <c r="G25" s="1089"/>
      <c r="H25" s="1018"/>
    </row>
    <row r="26" spans="2:20" ht="15" customHeight="1" x14ac:dyDescent="0.2">
      <c r="B26" s="1110"/>
      <c r="C26" s="732" t="s">
        <v>78</v>
      </c>
      <c r="D26" s="1091" t="s">
        <v>79</v>
      </c>
      <c r="E26" s="1091"/>
      <c r="F26" s="732" t="s">
        <v>78</v>
      </c>
      <c r="G26" s="1091" t="s">
        <v>79</v>
      </c>
      <c r="H26" s="1013"/>
    </row>
    <row r="27" spans="2:20" ht="30" customHeight="1" x14ac:dyDescent="0.2">
      <c r="B27" s="1110"/>
      <c r="C27" s="1090" t="s">
        <v>326</v>
      </c>
      <c r="D27" s="1090"/>
      <c r="E27" s="130" t="s">
        <v>82</v>
      </c>
      <c r="F27" s="1090" t="s">
        <v>326</v>
      </c>
      <c r="G27" s="1090"/>
      <c r="H27" s="131" t="s">
        <v>82</v>
      </c>
    </row>
    <row r="28" spans="2:20" ht="15" customHeight="1" x14ac:dyDescent="0.2">
      <c r="B28" s="759" t="str">
        <f>Index!$B$4</f>
        <v>England</v>
      </c>
      <c r="C28" s="760">
        <f>'Section 9 data country'!$C$6</f>
        <v>1357.6379999999999</v>
      </c>
      <c r="D28" s="760">
        <f>'Section 9 data country'!$C$26</f>
        <v>2957.9369999999999</v>
      </c>
      <c r="E28" s="761">
        <f>'Section 9 data country'!$D$26</f>
        <v>4.9175326735365372</v>
      </c>
      <c r="F28" s="760">
        <f>'Section 9 data country'!$F$6</f>
        <v>1146.115</v>
      </c>
      <c r="G28" s="760">
        <f>'Section 9 data country'!$E$26</f>
        <v>3264.904</v>
      </c>
      <c r="H28" s="762">
        <f>'Section 9 data country'!$F$26</f>
        <v>4.7723267050589984</v>
      </c>
    </row>
    <row r="29" spans="2:20" ht="15" customHeight="1" x14ac:dyDescent="0.2">
      <c r="B29" s="763" t="s">
        <v>286</v>
      </c>
      <c r="C29" s="764">
        <f>'Section 9 data country'!$C$7</f>
        <v>169.035</v>
      </c>
      <c r="D29" s="764">
        <f>'Section 9 data country'!$C$27</f>
        <v>238.006</v>
      </c>
      <c r="E29" s="765">
        <f>'Section 9 data country'!$D$27</f>
        <v>18.350000000000001</v>
      </c>
      <c r="F29" s="764">
        <f>'Section 9 data country'!$F$7</f>
        <v>145.471</v>
      </c>
      <c r="G29" s="764">
        <f>'Section 9 data country'!$E$27</f>
        <v>258.863</v>
      </c>
      <c r="H29" s="766">
        <f>'Section 9 data country'!$F$27</f>
        <v>16.739999999999998</v>
      </c>
    </row>
    <row r="30" spans="2:20" ht="15" customHeight="1" x14ac:dyDescent="0.2">
      <c r="B30" s="763" t="s">
        <v>298</v>
      </c>
      <c r="C30" s="764">
        <f>'Section 9 data country'!$C$8</f>
        <v>75.849000000000004</v>
      </c>
      <c r="D30" s="764">
        <f>'Section 9 data country'!$C$28</f>
        <v>330.42700000000002</v>
      </c>
      <c r="E30" s="765">
        <f>'Section 9 data country'!$D$28</f>
        <v>17.149999999999999</v>
      </c>
      <c r="F30" s="764">
        <f>'Section 9 data country'!$F$8</f>
        <v>92.063000000000002</v>
      </c>
      <c r="G30" s="764">
        <f>'Section 9 data country'!$E$28</f>
        <v>520.34100000000001</v>
      </c>
      <c r="H30" s="766">
        <f>'Section 9 data country'!$F$28</f>
        <v>15.88</v>
      </c>
    </row>
    <row r="31" spans="2:20" ht="15" customHeight="1" x14ac:dyDescent="0.2">
      <c r="B31" s="763" t="s">
        <v>287</v>
      </c>
      <c r="C31" s="764">
        <f>'Section 9 data country'!$C$9</f>
        <v>168.267</v>
      </c>
      <c r="D31" s="764">
        <f>'Section 9 data country'!$C$29</f>
        <v>166.202</v>
      </c>
      <c r="E31" s="765">
        <f>'Section 9 data country'!$D$29</f>
        <v>11.7</v>
      </c>
      <c r="F31" s="764">
        <f>'Section 9 data country'!$F$9</f>
        <v>163.97300000000001</v>
      </c>
      <c r="G31" s="764">
        <f>'Section 9 data country'!$E$29</f>
        <v>201.37</v>
      </c>
      <c r="H31" s="766">
        <f>'Section 9 data country'!$F$29</f>
        <v>13.18</v>
      </c>
    </row>
    <row r="32" spans="2:20" ht="15" customHeight="1" x14ac:dyDescent="0.2">
      <c r="B32" s="763" t="s">
        <v>288</v>
      </c>
      <c r="C32" s="764">
        <f>'Section 9 data country'!$C$10</f>
        <v>47.417000000000002</v>
      </c>
      <c r="D32" s="764">
        <f>'Section 9 data country'!$C$30</f>
        <v>80.561999999999998</v>
      </c>
      <c r="E32" s="765">
        <f>'Section 9 data country'!$D$30</f>
        <v>17.87</v>
      </c>
      <c r="F32" s="764">
        <f>'Section 9 data country'!$F$10</f>
        <v>38.831000000000003</v>
      </c>
      <c r="G32" s="764">
        <f>'Section 9 data country'!$E$30</f>
        <v>104.88500000000001</v>
      </c>
      <c r="H32" s="766">
        <f>'Section 9 data country'!$F$30</f>
        <v>22.05</v>
      </c>
    </row>
    <row r="33" spans="2:8" ht="15" customHeight="1" x14ac:dyDescent="0.2">
      <c r="B33" s="763" t="s">
        <v>301</v>
      </c>
      <c r="C33" s="764">
        <f>'Section 9 data country'!$C$11</f>
        <v>2.827</v>
      </c>
      <c r="D33" s="764">
        <f>'Section 9 data country'!$C$31</f>
        <v>22.687000000000001</v>
      </c>
      <c r="E33" s="765">
        <f>'Section 9 data country'!$D$31</f>
        <v>29.86</v>
      </c>
      <c r="F33" s="764">
        <f>'Section 9 data country'!$F$11</f>
        <v>4.5709999999999997</v>
      </c>
      <c r="G33" s="764">
        <f>'Section 9 data country'!$E$31</f>
        <v>47.752000000000002</v>
      </c>
      <c r="H33" s="766">
        <f>'Section 9 data country'!$F$31</f>
        <v>29.88</v>
      </c>
    </row>
    <row r="34" spans="2:8" ht="15" customHeight="1" x14ac:dyDescent="0.2">
      <c r="B34" s="763" t="s">
        <v>302</v>
      </c>
      <c r="C34" s="764">
        <f>'Section 9 data country'!$C$12</f>
        <v>0.47899999999999998</v>
      </c>
      <c r="D34" s="764">
        <f>'Section 9 data country'!$C$32</f>
        <v>27.053000000000001</v>
      </c>
      <c r="E34" s="765">
        <f>'Section 9 data country'!$D$32</f>
        <v>17.91</v>
      </c>
      <c r="F34" s="764">
        <f>'Section 9 data country'!$F$12</f>
        <v>1.6120000000000001</v>
      </c>
      <c r="G34" s="764">
        <f>'Section 9 data country'!$E$32</f>
        <v>62.036000000000001</v>
      </c>
      <c r="H34" s="766">
        <f>'Section 9 data country'!$F$32</f>
        <v>21.65</v>
      </c>
    </row>
    <row r="35" spans="2:8" ht="15" customHeight="1" x14ac:dyDescent="0.2">
      <c r="B35" s="763" t="s">
        <v>303</v>
      </c>
      <c r="C35" s="764">
        <f>'Section 9 data country'!$C$13</f>
        <v>13.311999999999999</v>
      </c>
      <c r="D35" s="764">
        <f>'Section 9 data country'!$C$33</f>
        <v>160.82599999999999</v>
      </c>
      <c r="E35" s="765">
        <f>'Section 9 data country'!$D$33</f>
        <v>16.54</v>
      </c>
      <c r="F35" s="764">
        <f>'Section 9 data country'!$F$13</f>
        <v>18.491</v>
      </c>
      <c r="G35" s="764">
        <f>'Section 9 data country'!$E$33</f>
        <v>139.34299999999999</v>
      </c>
      <c r="H35" s="766">
        <f>'Section 9 data country'!$F$33</f>
        <v>15.82</v>
      </c>
    </row>
    <row r="36" spans="2:8" ht="15" customHeight="1" x14ac:dyDescent="0.2">
      <c r="B36" s="763" t="s">
        <v>304</v>
      </c>
      <c r="C36" s="764">
        <f>'Section 9 data country'!$C$14</f>
        <v>27.157</v>
      </c>
      <c r="D36" s="764">
        <f>'Section 9 data country'!$C$34</f>
        <v>67.429000000000002</v>
      </c>
      <c r="E36" s="765">
        <f>'Section 9 data country'!$D$34</f>
        <v>18.55</v>
      </c>
      <c r="F36" s="764">
        <f>'Section 9 data country'!$F$14</f>
        <v>25.933</v>
      </c>
      <c r="G36" s="764">
        <f>'Section 9 data country'!$E$34</f>
        <v>57.585000000000001</v>
      </c>
      <c r="H36" s="766">
        <f>'Section 9 data country'!$F$34</f>
        <v>18.010000000000002</v>
      </c>
    </row>
    <row r="37" spans="2:8" ht="15" customHeight="1" x14ac:dyDescent="0.2">
      <c r="B37" s="763" t="s">
        <v>291</v>
      </c>
      <c r="C37" s="764">
        <f>'Section 9 data country'!$C$15</f>
        <v>531.601</v>
      </c>
      <c r="D37" s="764">
        <f>'Section 9 data country'!$C$35</f>
        <v>287.02800000000002</v>
      </c>
      <c r="E37" s="765">
        <f>'Section 9 data country'!$D$35</f>
        <v>18.52</v>
      </c>
      <c r="F37" s="764">
        <f>'Section 9 data country'!$F$15</f>
        <v>284.392</v>
      </c>
      <c r="G37" s="764">
        <f>'Section 9 data country'!$E$35</f>
        <v>374.25299999999999</v>
      </c>
      <c r="H37" s="766">
        <f>'Section 9 data country'!$F$35</f>
        <v>17.09</v>
      </c>
    </row>
    <row r="38" spans="2:8" ht="15" customHeight="1" x14ac:dyDescent="0.2">
      <c r="B38" s="763" t="s">
        <v>292</v>
      </c>
      <c r="C38" s="764">
        <f>'Section 9 data country'!$C$16</f>
        <v>45.831000000000003</v>
      </c>
      <c r="D38" s="764">
        <f>'Section 9 data country'!$C$36</f>
        <v>215.75200000000001</v>
      </c>
      <c r="E38" s="765">
        <f>'Section 9 data country'!$D$36</f>
        <v>13.41</v>
      </c>
      <c r="F38" s="764">
        <f>'Section 9 data country'!$F$16</f>
        <v>60.746000000000002</v>
      </c>
      <c r="G38" s="764">
        <f>'Section 9 data country'!$E$36</f>
        <v>244.52500000000001</v>
      </c>
      <c r="H38" s="766">
        <f>'Section 9 data country'!$F$36</f>
        <v>11.17</v>
      </c>
    </row>
    <row r="39" spans="2:8" ht="15" customHeight="1" x14ac:dyDescent="0.2">
      <c r="B39" s="763" t="s">
        <v>293</v>
      </c>
      <c r="C39" s="764">
        <f>'Section 9 data country'!$C$17</f>
        <v>6.26</v>
      </c>
      <c r="D39" s="764">
        <f>'Section 9 data country'!$C$37</f>
        <v>268.62799999999999</v>
      </c>
      <c r="E39" s="765">
        <f>'Section 9 data country'!$D$37</f>
        <v>16.62</v>
      </c>
      <c r="F39" s="764">
        <f>'Section 9 data country'!$F$17</f>
        <v>5.2220000000000004</v>
      </c>
      <c r="G39" s="764">
        <f>'Section 9 data country'!$E$37</f>
        <v>198.71100000000001</v>
      </c>
      <c r="H39" s="766">
        <f>'Section 9 data country'!$F$37</f>
        <v>11.38</v>
      </c>
    </row>
    <row r="40" spans="2:8" ht="15" customHeight="1" x14ac:dyDescent="0.2">
      <c r="B40" s="763" t="s">
        <v>294</v>
      </c>
      <c r="C40" s="764">
        <f>'Section 9 data country'!$C$18</f>
        <v>49.295000000000002</v>
      </c>
      <c r="D40" s="764">
        <f>'Section 9 data country'!$C$38</f>
        <v>352.09399999999999</v>
      </c>
      <c r="E40" s="765">
        <f>'Section 9 data country'!$D$38</f>
        <v>15.34</v>
      </c>
      <c r="F40" s="764">
        <f>'Section 9 data country'!$F$18</f>
        <v>62.314999999999998</v>
      </c>
      <c r="G40" s="764">
        <f>'Section 9 data country'!$E$38</f>
        <v>312.339</v>
      </c>
      <c r="H40" s="766">
        <f>'Section 9 data country'!$F$38</f>
        <v>13.78</v>
      </c>
    </row>
    <row r="41" spans="2:8" ht="15" customHeight="1" x14ac:dyDescent="0.2">
      <c r="B41" s="763" t="s">
        <v>295</v>
      </c>
      <c r="C41" s="764">
        <f>'Section 9 data country'!$C$19</f>
        <v>119.86199999999999</v>
      </c>
      <c r="D41" s="764">
        <f>'Section 9 data country'!$C$39</f>
        <v>467.99599999999998</v>
      </c>
      <c r="E41" s="765">
        <f>'Section 9 data country'!$D$39</f>
        <v>15.18</v>
      </c>
      <c r="F41" s="764">
        <f>'Section 9 data country'!$F$19</f>
        <v>143.47499999999999</v>
      </c>
      <c r="G41" s="764">
        <f>'Section 9 data country'!$E$39</f>
        <v>420.09199999999998</v>
      </c>
      <c r="H41" s="766">
        <f>'Section 9 data country'!$F$39</f>
        <v>14.44</v>
      </c>
    </row>
    <row r="42" spans="2:8" ht="15" customHeight="1" x14ac:dyDescent="0.2">
      <c r="B42" s="767" t="s">
        <v>296</v>
      </c>
      <c r="C42" s="768">
        <f>'Section 9 data country'!$C$20</f>
        <v>100.446</v>
      </c>
      <c r="D42" s="768">
        <f>'Section 9 data country'!$C$40</f>
        <v>273.24700000000001</v>
      </c>
      <c r="E42" s="769">
        <f>'Section 9 data country'!$D$40</f>
        <v>10.98</v>
      </c>
      <c r="F42" s="768">
        <f>'Section 9 data country'!$F$20</f>
        <v>99.02</v>
      </c>
      <c r="G42" s="768">
        <f>'Section 9 data country'!$E$40</f>
        <v>322.80900000000003</v>
      </c>
      <c r="H42" s="770">
        <f>'Section 9 data country'!$F$40</f>
        <v>15.41</v>
      </c>
    </row>
    <row r="45" spans="2:8" ht="15" customHeight="1" x14ac:dyDescent="0.2">
      <c r="B45" s="1109" t="s">
        <v>380</v>
      </c>
      <c r="C45" s="1089" t="s">
        <v>225</v>
      </c>
      <c r="D45" s="1089"/>
      <c r="E45" s="1089"/>
      <c r="F45" s="1089" t="s">
        <v>226</v>
      </c>
      <c r="G45" s="1089"/>
      <c r="H45" s="1018"/>
    </row>
    <row r="46" spans="2:8" ht="15" customHeight="1" x14ac:dyDescent="0.2">
      <c r="B46" s="1110"/>
      <c r="C46" s="732" t="s">
        <v>78</v>
      </c>
      <c r="D46" s="1091" t="s">
        <v>79</v>
      </c>
      <c r="E46" s="1091"/>
      <c r="F46" s="732" t="s">
        <v>78</v>
      </c>
      <c r="G46" s="1091" t="s">
        <v>79</v>
      </c>
      <c r="H46" s="1013"/>
    </row>
    <row r="47" spans="2:8" ht="30" customHeight="1" x14ac:dyDescent="0.2">
      <c r="B47" s="1110"/>
      <c r="C47" s="1090" t="s">
        <v>326</v>
      </c>
      <c r="D47" s="1090"/>
      <c r="E47" s="130" t="s">
        <v>82</v>
      </c>
      <c r="F47" s="1090" t="s">
        <v>326</v>
      </c>
      <c r="G47" s="1090"/>
      <c r="H47" s="131" t="s">
        <v>82</v>
      </c>
    </row>
    <row r="48" spans="2:8" ht="15" customHeight="1" x14ac:dyDescent="0.2">
      <c r="B48" s="759" t="str">
        <f>Index!$B$4</f>
        <v>England</v>
      </c>
      <c r="C48" s="760">
        <f>'Section 9 data country'!$E$6</f>
        <v>1122.9359999999999</v>
      </c>
      <c r="D48" s="760">
        <f>'Section 9 data country'!$G$26</f>
        <v>2956.4490000000001</v>
      </c>
      <c r="E48" s="761">
        <f>'Section 9 data country'!$H$26</f>
        <v>5.0877422572868625</v>
      </c>
      <c r="F48" s="760">
        <f>'Section 9 data country'!$F$6</f>
        <v>1146.115</v>
      </c>
      <c r="G48" s="760">
        <f>'Section 9 data country'!$I$26</f>
        <v>3052.6990000000001</v>
      </c>
      <c r="H48" s="762">
        <f>'Section 9 data country'!$J$26</f>
        <v>5.1812754658331821</v>
      </c>
    </row>
    <row r="49" spans="2:8" ht="15" customHeight="1" x14ac:dyDescent="0.2">
      <c r="B49" s="763" t="s">
        <v>286</v>
      </c>
      <c r="C49" s="764">
        <f>'Section 9 data country'!$E$7</f>
        <v>143.113</v>
      </c>
      <c r="D49" s="764">
        <f>'Section 9 data country'!$G$27</f>
        <v>420.42200000000003</v>
      </c>
      <c r="E49" s="765">
        <f>'Section 9 data country'!$H$27</f>
        <v>18.03</v>
      </c>
      <c r="F49" s="764">
        <f>'Section 9 data country'!$F$7</f>
        <v>145.471</v>
      </c>
      <c r="G49" s="764">
        <f>'Section 9 data country'!$I$27</f>
        <v>350.44</v>
      </c>
      <c r="H49" s="766">
        <f>'Section 9 data country'!$J$27</f>
        <v>15.81</v>
      </c>
    </row>
    <row r="50" spans="2:8" ht="15" customHeight="1" x14ac:dyDescent="0.2">
      <c r="B50" s="763" t="s">
        <v>298</v>
      </c>
      <c r="C50" s="764">
        <f>'Section 9 data country'!$E$8</f>
        <v>72.724000000000004</v>
      </c>
      <c r="D50" s="764">
        <f>'Section 9 data country'!$G$28</f>
        <v>232.18</v>
      </c>
      <c r="E50" s="765">
        <f>'Section 9 data country'!$H$28</f>
        <v>11.5</v>
      </c>
      <c r="F50" s="764">
        <f>'Section 9 data country'!$F$8</f>
        <v>92.063000000000002</v>
      </c>
      <c r="G50" s="764">
        <f>'Section 9 data country'!$I$28</f>
        <v>212.33600000000001</v>
      </c>
      <c r="H50" s="766">
        <f>'Section 9 data country'!$J$28</f>
        <v>14.74</v>
      </c>
    </row>
    <row r="51" spans="2:8" ht="15" customHeight="1" x14ac:dyDescent="0.2">
      <c r="B51" s="763" t="s">
        <v>287</v>
      </c>
      <c r="C51" s="764">
        <f>'Section 9 data country'!$E$9</f>
        <v>142.75700000000001</v>
      </c>
      <c r="D51" s="764">
        <f>'Section 9 data country'!$G$29</f>
        <v>164.31299999999999</v>
      </c>
      <c r="E51" s="765">
        <f>'Section 9 data country'!$H$29</f>
        <v>17.68</v>
      </c>
      <c r="F51" s="764">
        <f>'Section 9 data country'!$F$9</f>
        <v>163.97300000000001</v>
      </c>
      <c r="G51" s="764">
        <f>'Section 9 data country'!$I$29</f>
        <v>251.798</v>
      </c>
      <c r="H51" s="766">
        <f>'Section 9 data country'!$J$29</f>
        <v>18.3</v>
      </c>
    </row>
    <row r="52" spans="2:8" ht="15" customHeight="1" x14ac:dyDescent="0.2">
      <c r="B52" s="763" t="s">
        <v>288</v>
      </c>
      <c r="C52" s="764">
        <f>'Section 9 data country'!$E$10</f>
        <v>45.317</v>
      </c>
      <c r="D52" s="764">
        <f>'Section 9 data country'!$G$30</f>
        <v>134.94200000000001</v>
      </c>
      <c r="E52" s="765">
        <f>'Section 9 data country'!$H$30</f>
        <v>29.77</v>
      </c>
      <c r="F52" s="764">
        <f>'Section 9 data country'!$F$10</f>
        <v>38.831000000000003</v>
      </c>
      <c r="G52" s="764">
        <f>'Section 9 data country'!$I$30</f>
        <v>136.261</v>
      </c>
      <c r="H52" s="766">
        <f>'Section 9 data country'!$J$30</f>
        <v>22.44</v>
      </c>
    </row>
    <row r="53" spans="2:8" ht="15" customHeight="1" x14ac:dyDescent="0.2">
      <c r="B53" s="763" t="s">
        <v>301</v>
      </c>
      <c r="C53" s="764">
        <f>'Section 9 data country'!$E$11</f>
        <v>6.3460000000000001</v>
      </c>
      <c r="D53" s="764">
        <f>'Section 9 data country'!$G$31</f>
        <v>23.611000000000001</v>
      </c>
      <c r="E53" s="765">
        <f>'Section 9 data country'!$H$31</f>
        <v>27.54</v>
      </c>
      <c r="F53" s="764">
        <f>'Section 9 data country'!$F$11</f>
        <v>4.5709999999999997</v>
      </c>
      <c r="G53" s="764">
        <f>'Section 9 data country'!$I$31</f>
        <v>29.257999999999999</v>
      </c>
      <c r="H53" s="766">
        <f>'Section 9 data country'!$J$31</f>
        <v>30.38</v>
      </c>
    </row>
    <row r="54" spans="2:8" ht="15" customHeight="1" x14ac:dyDescent="0.2">
      <c r="B54" s="763" t="s">
        <v>302</v>
      </c>
      <c r="C54" s="764">
        <f>'Section 9 data country'!$E$12</f>
        <v>0.48699999999999999</v>
      </c>
      <c r="D54" s="764">
        <f>'Section 9 data country'!$G$32</f>
        <v>48.756999999999998</v>
      </c>
      <c r="E54" s="765">
        <f>'Section 9 data country'!$H$32</f>
        <v>30.01</v>
      </c>
      <c r="F54" s="764">
        <f>'Section 9 data country'!$F$12</f>
        <v>1.6120000000000001</v>
      </c>
      <c r="G54" s="764">
        <f>'Section 9 data country'!$I$32</f>
        <v>21.864000000000001</v>
      </c>
      <c r="H54" s="766">
        <f>'Section 9 data country'!$J$32</f>
        <v>23.89</v>
      </c>
    </row>
    <row r="55" spans="2:8" ht="15" customHeight="1" x14ac:dyDescent="0.2">
      <c r="B55" s="763" t="s">
        <v>303</v>
      </c>
      <c r="C55" s="764">
        <f>'Section 9 data country'!$E$13</f>
        <v>13.680999999999999</v>
      </c>
      <c r="D55" s="764">
        <f>'Section 9 data country'!$G$33</f>
        <v>172.786</v>
      </c>
      <c r="E55" s="765">
        <f>'Section 9 data country'!$H$33</f>
        <v>18.29</v>
      </c>
      <c r="F55" s="764">
        <f>'Section 9 data country'!$F$13</f>
        <v>18.491</v>
      </c>
      <c r="G55" s="764">
        <f>'Section 9 data country'!$I$33</f>
        <v>93.953999999999994</v>
      </c>
      <c r="H55" s="766">
        <f>'Section 9 data country'!$J$33</f>
        <v>22.78</v>
      </c>
    </row>
    <row r="56" spans="2:8" ht="15" customHeight="1" x14ac:dyDescent="0.2">
      <c r="B56" s="763" t="s">
        <v>304</v>
      </c>
      <c r="C56" s="764">
        <f>'Section 9 data country'!$E$14</f>
        <v>21.478999999999999</v>
      </c>
      <c r="D56" s="764">
        <f>'Section 9 data country'!$G$34</f>
        <v>42.152000000000001</v>
      </c>
      <c r="E56" s="765">
        <f>'Section 9 data country'!$H$34</f>
        <v>15.32</v>
      </c>
      <c r="F56" s="764">
        <f>'Section 9 data country'!$F$14</f>
        <v>25.933</v>
      </c>
      <c r="G56" s="764">
        <f>'Section 9 data country'!$I$34</f>
        <v>70.442999999999998</v>
      </c>
      <c r="H56" s="766">
        <f>'Section 9 data country'!$J$34</f>
        <v>19.45</v>
      </c>
    </row>
    <row r="57" spans="2:8" ht="15" customHeight="1" x14ac:dyDescent="0.2">
      <c r="B57" s="763" t="s">
        <v>291</v>
      </c>
      <c r="C57" s="764">
        <f>'Section 9 data country'!$E$15</f>
        <v>306.07900000000001</v>
      </c>
      <c r="D57" s="764">
        <f>'Section 9 data country'!$G$35</f>
        <v>370.53500000000003</v>
      </c>
      <c r="E57" s="765">
        <f>'Section 9 data country'!$H$35</f>
        <v>16.57</v>
      </c>
      <c r="F57" s="764">
        <f>'Section 9 data country'!$F$15</f>
        <v>284.392</v>
      </c>
      <c r="G57" s="764">
        <f>'Section 9 data country'!$I$35</f>
        <v>488.64299999999997</v>
      </c>
      <c r="H57" s="766">
        <f>'Section 9 data country'!$J$35</f>
        <v>18.55</v>
      </c>
    </row>
    <row r="58" spans="2:8" ht="15" customHeight="1" x14ac:dyDescent="0.2">
      <c r="B58" s="763" t="s">
        <v>292</v>
      </c>
      <c r="C58" s="764">
        <f>'Section 9 data country'!$E$16</f>
        <v>50.536000000000001</v>
      </c>
      <c r="D58" s="764">
        <f>'Section 9 data country'!$G$36</f>
        <v>207.72200000000001</v>
      </c>
      <c r="E58" s="765">
        <f>'Section 9 data country'!$H$36</f>
        <v>13.01</v>
      </c>
      <c r="F58" s="764">
        <f>'Section 9 data country'!$F$16</f>
        <v>60.746000000000002</v>
      </c>
      <c r="G58" s="764">
        <f>'Section 9 data country'!$I$36</f>
        <v>217.655</v>
      </c>
      <c r="H58" s="766">
        <f>'Section 9 data country'!$J$36</f>
        <v>13.9</v>
      </c>
    </row>
    <row r="59" spans="2:8" ht="15" customHeight="1" x14ac:dyDescent="0.2">
      <c r="B59" s="763" t="s">
        <v>293</v>
      </c>
      <c r="C59" s="764">
        <f>'Section 9 data country'!$E$17</f>
        <v>7.3289999999999997</v>
      </c>
      <c r="D59" s="764">
        <f>'Section 9 data country'!$G$37</f>
        <v>222.637</v>
      </c>
      <c r="E59" s="765">
        <f>'Section 9 data country'!$H$37</f>
        <v>13.71</v>
      </c>
      <c r="F59" s="764">
        <f>'Section 9 data country'!$F$17</f>
        <v>5.2220000000000004</v>
      </c>
      <c r="G59" s="764">
        <f>'Section 9 data country'!$I$37</f>
        <v>318.28699999999998</v>
      </c>
      <c r="H59" s="766">
        <f>'Section 9 data country'!$J$37</f>
        <v>14.55</v>
      </c>
    </row>
    <row r="60" spans="2:8" ht="15" customHeight="1" x14ac:dyDescent="0.2">
      <c r="B60" s="763" t="s">
        <v>294</v>
      </c>
      <c r="C60" s="764">
        <f>'Section 9 data country'!$E$18</f>
        <v>51.792000000000002</v>
      </c>
      <c r="D60" s="764">
        <f>'Section 9 data country'!$G$38</f>
        <v>247.75899999999999</v>
      </c>
      <c r="E60" s="765">
        <f>'Section 9 data country'!$H$38</f>
        <v>16.149999999999999</v>
      </c>
      <c r="F60" s="764">
        <f>'Section 9 data country'!$F$18</f>
        <v>62.314999999999998</v>
      </c>
      <c r="G60" s="764">
        <f>'Section 9 data country'!$I$38</f>
        <v>245.41300000000001</v>
      </c>
      <c r="H60" s="766">
        <f>'Section 9 data country'!$J$38</f>
        <v>12.48</v>
      </c>
    </row>
    <row r="61" spans="2:8" ht="15" customHeight="1" x14ac:dyDescent="0.2">
      <c r="B61" s="763" t="s">
        <v>295</v>
      </c>
      <c r="C61" s="764">
        <f>'Section 9 data country'!$E$19</f>
        <v>145.24</v>
      </c>
      <c r="D61" s="764">
        <f>'Section 9 data country'!$G$39</f>
        <v>370.84199999999998</v>
      </c>
      <c r="E61" s="765">
        <f>'Section 9 data country'!$H$39</f>
        <v>17.559999999999999</v>
      </c>
      <c r="F61" s="764">
        <f>'Section 9 data country'!$F$19</f>
        <v>143.47499999999999</v>
      </c>
      <c r="G61" s="764">
        <f>'Section 9 data country'!$I$39</f>
        <v>286.964</v>
      </c>
      <c r="H61" s="766">
        <f>'Section 9 data country'!$J$39</f>
        <v>14.65</v>
      </c>
    </row>
    <row r="62" spans="2:8" ht="15" customHeight="1" x14ac:dyDescent="0.2">
      <c r="B62" s="767" t="s">
        <v>296</v>
      </c>
      <c r="C62" s="768">
        <f>'Section 9 data country'!$E$20</f>
        <v>116.056</v>
      </c>
      <c r="D62" s="768">
        <f>'Section 9 data country'!$G$40</f>
        <v>297.791</v>
      </c>
      <c r="E62" s="769">
        <f>'Section 9 data country'!$H$40</f>
        <v>11.33</v>
      </c>
      <c r="F62" s="768">
        <f>'Section 9 data country'!$F$20</f>
        <v>99.02</v>
      </c>
      <c r="G62" s="768">
        <f>'Section 9 data country'!$I$40</f>
        <v>329.38299999999998</v>
      </c>
      <c r="H62" s="770">
        <f>'Section 9 data country'!$J$40</f>
        <v>17.11</v>
      </c>
    </row>
    <row r="65" spans="2:8" ht="15" customHeight="1" x14ac:dyDescent="0.2">
      <c r="B65" s="1109" t="s">
        <v>380</v>
      </c>
      <c r="C65" s="1089" t="s">
        <v>227</v>
      </c>
      <c r="D65" s="1089"/>
      <c r="E65" s="1089"/>
      <c r="F65" s="1089" t="s">
        <v>228</v>
      </c>
      <c r="G65" s="1089"/>
      <c r="H65" s="1018"/>
    </row>
    <row r="66" spans="2:8" ht="15" customHeight="1" x14ac:dyDescent="0.2">
      <c r="B66" s="1110"/>
      <c r="C66" s="732" t="s">
        <v>78</v>
      </c>
      <c r="D66" s="1091" t="s">
        <v>79</v>
      </c>
      <c r="E66" s="1091"/>
      <c r="F66" s="732" t="s">
        <v>78</v>
      </c>
      <c r="G66" s="1091" t="s">
        <v>79</v>
      </c>
      <c r="H66" s="1013"/>
    </row>
    <row r="67" spans="2:8" ht="30" customHeight="1" x14ac:dyDescent="0.2">
      <c r="B67" s="1110"/>
      <c r="C67" s="1090" t="s">
        <v>326</v>
      </c>
      <c r="D67" s="1090"/>
      <c r="E67" s="130" t="s">
        <v>82</v>
      </c>
      <c r="F67" s="1090" t="s">
        <v>326</v>
      </c>
      <c r="G67" s="1090"/>
      <c r="H67" s="131" t="s">
        <v>82</v>
      </c>
    </row>
    <row r="68" spans="2:8" ht="15" customHeight="1" x14ac:dyDescent="0.2">
      <c r="B68" s="759" t="str">
        <f>Index!$B$4</f>
        <v>England</v>
      </c>
      <c r="C68" s="760">
        <f>'Section 9 data country'!$G$6</f>
        <v>1094.79</v>
      </c>
      <c r="D68" s="760">
        <f>'Section 9 data country'!$K$26</f>
        <v>2910.4050000000002</v>
      </c>
      <c r="E68" s="761">
        <f>'Section 9 data country'!$L$26</f>
        <v>5.8810833804531484</v>
      </c>
      <c r="F68" s="760">
        <f>'Section 9 data country'!$H$6</f>
        <v>1100.3589999999999</v>
      </c>
      <c r="G68" s="760">
        <f>'Section 9 data country'!$M$26</f>
        <v>2272.7440000000001</v>
      </c>
      <c r="H68" s="762">
        <f>'Section 9 data country'!$N$26</f>
        <v>6.3794291254089313</v>
      </c>
    </row>
    <row r="69" spans="2:8" ht="15" customHeight="1" x14ac:dyDescent="0.2">
      <c r="B69" s="763" t="s">
        <v>286</v>
      </c>
      <c r="C69" s="764">
        <f>'Section 9 data country'!$G$7</f>
        <v>109.753</v>
      </c>
      <c r="D69" s="764">
        <f>'Section 9 data country'!$K$27</f>
        <v>257.19099999999997</v>
      </c>
      <c r="E69" s="765">
        <f>'Section 9 data country'!$L$27</f>
        <v>19.52</v>
      </c>
      <c r="F69" s="764">
        <f>'Section 9 data country'!$H$7</f>
        <v>130.58199999999999</v>
      </c>
      <c r="G69" s="764">
        <f>'Section 9 data country'!$M$27</f>
        <v>166.393</v>
      </c>
      <c r="H69" s="766">
        <f>'Section 9 data country'!$N$27</f>
        <v>14.57</v>
      </c>
    </row>
    <row r="70" spans="2:8" ht="15" customHeight="1" x14ac:dyDescent="0.2">
      <c r="B70" s="763" t="s">
        <v>298</v>
      </c>
      <c r="C70" s="764">
        <f>'Section 9 data country'!$G$8</f>
        <v>76.516999999999996</v>
      </c>
      <c r="D70" s="764">
        <f>'Section 9 data country'!$K$28</f>
        <v>227.797</v>
      </c>
      <c r="E70" s="765">
        <f>'Section 9 data country'!$L$28</f>
        <v>14.85</v>
      </c>
      <c r="F70" s="764">
        <f>'Section 9 data country'!$H$8</f>
        <v>89.004999999999995</v>
      </c>
      <c r="G70" s="764">
        <f>'Section 9 data country'!$M$28</f>
        <v>166.84</v>
      </c>
      <c r="H70" s="766">
        <f>'Section 9 data country'!$N$28</f>
        <v>21.27</v>
      </c>
    </row>
    <row r="71" spans="2:8" ht="15" customHeight="1" x14ac:dyDescent="0.2">
      <c r="B71" s="763" t="s">
        <v>287</v>
      </c>
      <c r="C71" s="764">
        <f>'Section 9 data country'!$G$9</f>
        <v>163.97300000000001</v>
      </c>
      <c r="D71" s="764">
        <f>'Section 9 data country'!$K$29</f>
        <v>269.90499999999997</v>
      </c>
      <c r="E71" s="765">
        <f>'Section 9 data country'!$L$29</f>
        <v>16.97</v>
      </c>
      <c r="F71" s="764">
        <f>'Section 9 data country'!$H$9</f>
        <v>169.017</v>
      </c>
      <c r="G71" s="764">
        <f>'Section 9 data country'!$M$29</f>
        <v>213.79300000000001</v>
      </c>
      <c r="H71" s="766">
        <f>'Section 9 data country'!$N$29</f>
        <v>19.66</v>
      </c>
    </row>
    <row r="72" spans="2:8" ht="15" customHeight="1" x14ac:dyDescent="0.2">
      <c r="B72" s="763" t="s">
        <v>288</v>
      </c>
      <c r="C72" s="764">
        <f>'Section 9 data country'!$G$10</f>
        <v>47.055999999999997</v>
      </c>
      <c r="D72" s="764">
        <f>'Section 9 data country'!$K$30</f>
        <v>63.215000000000003</v>
      </c>
      <c r="E72" s="765">
        <f>'Section 9 data country'!$L$30</f>
        <v>20.62</v>
      </c>
      <c r="F72" s="764">
        <f>'Section 9 data country'!$H$10</f>
        <v>33.167999999999999</v>
      </c>
      <c r="G72" s="764">
        <f>'Section 9 data country'!$M$30</f>
        <v>80.111000000000004</v>
      </c>
      <c r="H72" s="766">
        <f>'Section 9 data country'!$N$30</f>
        <v>39.979999999999997</v>
      </c>
    </row>
    <row r="73" spans="2:8" ht="15" customHeight="1" x14ac:dyDescent="0.2">
      <c r="B73" s="763" t="s">
        <v>301</v>
      </c>
      <c r="C73" s="764">
        <f>'Section 9 data country'!$G$11</f>
        <v>5.9619999999999997</v>
      </c>
      <c r="D73" s="764">
        <f>'Section 9 data country'!$K$31</f>
        <v>28.265000000000001</v>
      </c>
      <c r="E73" s="765">
        <f>'Section 9 data country'!$L$31</f>
        <v>42.71</v>
      </c>
      <c r="F73" s="764">
        <f>'Section 9 data country'!$H$11</f>
        <v>5.3179999999999996</v>
      </c>
      <c r="G73" s="764">
        <f>'Section 9 data country'!$M$31</f>
        <v>19.815999999999999</v>
      </c>
      <c r="H73" s="766">
        <f>'Section 9 data country'!$N$31</f>
        <v>32.51</v>
      </c>
    </row>
    <row r="74" spans="2:8" ht="15" customHeight="1" x14ac:dyDescent="0.2">
      <c r="B74" s="763" t="s">
        <v>302</v>
      </c>
      <c r="C74" s="764">
        <f>'Section 9 data country'!$G$12</f>
        <v>2.3420000000000001</v>
      </c>
      <c r="D74" s="764">
        <f>'Section 9 data country'!$K$32</f>
        <v>52.98</v>
      </c>
      <c r="E74" s="765">
        <f>'Section 9 data country'!$L$32</f>
        <v>58.36</v>
      </c>
      <c r="F74" s="764">
        <f>'Section 9 data country'!$H$12</f>
        <v>8.0280000000000005</v>
      </c>
      <c r="G74" s="764">
        <f>'Section 9 data country'!$M$32</f>
        <v>58.429000000000002</v>
      </c>
      <c r="H74" s="766">
        <f>'Section 9 data country'!$N$32</f>
        <v>33.86</v>
      </c>
    </row>
    <row r="75" spans="2:8" ht="15" customHeight="1" x14ac:dyDescent="0.2">
      <c r="B75" s="763" t="s">
        <v>303</v>
      </c>
      <c r="C75" s="764">
        <f>'Section 9 data country'!$G$13</f>
        <v>19.349</v>
      </c>
      <c r="D75" s="764">
        <f>'Section 9 data country'!$K$33</f>
        <v>86.736999999999995</v>
      </c>
      <c r="E75" s="765">
        <f>'Section 9 data country'!$L$33</f>
        <v>25.34</v>
      </c>
      <c r="F75" s="764">
        <f>'Section 9 data country'!$H$13</f>
        <v>25.274999999999999</v>
      </c>
      <c r="G75" s="764">
        <f>'Section 9 data country'!$M$33</f>
        <v>116.59699999999999</v>
      </c>
      <c r="H75" s="766">
        <f>'Section 9 data country'!$N$33</f>
        <v>22.62</v>
      </c>
    </row>
    <row r="76" spans="2:8" ht="15" customHeight="1" x14ac:dyDescent="0.2">
      <c r="B76" s="763" t="s">
        <v>304</v>
      </c>
      <c r="C76" s="764">
        <f>'Section 9 data country'!$G$14</f>
        <v>23.922000000000001</v>
      </c>
      <c r="D76" s="764">
        <f>'Section 9 data country'!$K$34</f>
        <v>80.106999999999999</v>
      </c>
      <c r="E76" s="765">
        <f>'Section 9 data country'!$L$34</f>
        <v>22.38</v>
      </c>
      <c r="F76" s="764">
        <f>'Section 9 data country'!$H$14</f>
        <v>20.381</v>
      </c>
      <c r="G76" s="764">
        <f>'Section 9 data country'!$M$34</f>
        <v>47.362000000000002</v>
      </c>
      <c r="H76" s="766">
        <f>'Section 9 data country'!$N$34</f>
        <v>24.58</v>
      </c>
    </row>
    <row r="77" spans="2:8" ht="15" customHeight="1" x14ac:dyDescent="0.2">
      <c r="B77" s="763" t="s">
        <v>291</v>
      </c>
      <c r="C77" s="764">
        <f>'Section 9 data country'!$G$15</f>
        <v>284.07400000000001</v>
      </c>
      <c r="D77" s="764">
        <f>'Section 9 data country'!$K$35</f>
        <v>543.79</v>
      </c>
      <c r="E77" s="765">
        <f>'Section 9 data country'!$L$35</f>
        <v>19.170000000000002</v>
      </c>
      <c r="F77" s="764">
        <f>'Section 9 data country'!$H$15</f>
        <v>239.82499999999999</v>
      </c>
      <c r="G77" s="764">
        <f>'Section 9 data country'!$M$35</f>
        <v>491.47399999999999</v>
      </c>
      <c r="H77" s="766">
        <f>'Section 9 data country'!$N$35</f>
        <v>18.88</v>
      </c>
    </row>
    <row r="78" spans="2:8" ht="15" customHeight="1" x14ac:dyDescent="0.2">
      <c r="B78" s="763" t="s">
        <v>292</v>
      </c>
      <c r="C78" s="764">
        <f>'Section 9 data country'!$G$16</f>
        <v>62.706000000000003</v>
      </c>
      <c r="D78" s="764">
        <f>'Section 9 data country'!$K$36</f>
        <v>220.10900000000001</v>
      </c>
      <c r="E78" s="765">
        <f>'Section 9 data country'!$L$36</f>
        <v>16.22</v>
      </c>
      <c r="F78" s="764">
        <f>'Section 9 data country'!$H$16</f>
        <v>74.778000000000006</v>
      </c>
      <c r="G78" s="764">
        <f>'Section 9 data country'!$M$36</f>
        <v>136.70099999999999</v>
      </c>
      <c r="H78" s="766">
        <f>'Section 9 data country'!$N$36</f>
        <v>22.56</v>
      </c>
    </row>
    <row r="79" spans="2:8" ht="15" customHeight="1" x14ac:dyDescent="0.2">
      <c r="B79" s="763" t="s">
        <v>293</v>
      </c>
      <c r="C79" s="764">
        <f>'Section 9 data country'!$G$17</f>
        <v>6.5110000000000001</v>
      </c>
      <c r="D79" s="764">
        <f>'Section 9 data country'!$K$37</f>
        <v>226.78299999999999</v>
      </c>
      <c r="E79" s="765">
        <f>'Section 9 data country'!$L$37</f>
        <v>17.66</v>
      </c>
      <c r="F79" s="764">
        <f>'Section 9 data country'!$H$17</f>
        <v>18.823</v>
      </c>
      <c r="G79" s="764">
        <f>'Section 9 data country'!$M$37</f>
        <v>196.238</v>
      </c>
      <c r="H79" s="766">
        <f>'Section 9 data country'!$N$37</f>
        <v>22.79</v>
      </c>
    </row>
    <row r="80" spans="2:8" ht="15" customHeight="1" x14ac:dyDescent="0.2">
      <c r="B80" s="763" t="s">
        <v>294</v>
      </c>
      <c r="C80" s="764">
        <f>'Section 9 data country'!$G$18</f>
        <v>53.054000000000002</v>
      </c>
      <c r="D80" s="764">
        <f>'Section 9 data country'!$K$38</f>
        <v>187.584</v>
      </c>
      <c r="E80" s="765">
        <f>'Section 9 data country'!$L$38</f>
        <v>13.34</v>
      </c>
      <c r="F80" s="764">
        <f>'Section 9 data country'!$H$18</f>
        <v>60.503999999999998</v>
      </c>
      <c r="G80" s="764">
        <f>'Section 9 data country'!$M$38</f>
        <v>155.52799999999999</v>
      </c>
      <c r="H80" s="766">
        <f>'Section 9 data country'!$N$38</f>
        <v>12.49</v>
      </c>
    </row>
    <row r="81" spans="2:8" ht="15" customHeight="1" x14ac:dyDescent="0.2">
      <c r="B81" s="763" t="s">
        <v>295</v>
      </c>
      <c r="C81" s="764">
        <f>'Section 9 data country'!$G$19</f>
        <v>128.51900000000001</v>
      </c>
      <c r="D81" s="764">
        <f>'Section 9 data country'!$K$39</f>
        <v>446.91</v>
      </c>
      <c r="E81" s="765">
        <f>'Section 9 data country'!$L$39</f>
        <v>17.71</v>
      </c>
      <c r="F81" s="764">
        <f>'Section 9 data country'!$H$19</f>
        <v>131.70500000000001</v>
      </c>
      <c r="G81" s="764">
        <f>'Section 9 data country'!$M$39</f>
        <v>221.53100000000001</v>
      </c>
      <c r="H81" s="766">
        <f>'Section 9 data country'!$N$39</f>
        <v>21.03</v>
      </c>
    </row>
    <row r="82" spans="2:8" ht="15" customHeight="1" x14ac:dyDescent="0.2">
      <c r="B82" s="767" t="s">
        <v>296</v>
      </c>
      <c r="C82" s="768">
        <f>'Section 9 data country'!$G$20</f>
        <v>111.05200000000001</v>
      </c>
      <c r="D82" s="768">
        <f>'Section 9 data country'!$K$40</f>
        <v>219.03200000000001</v>
      </c>
      <c r="E82" s="769">
        <f>'Section 9 data country'!$L$40</f>
        <v>13.09</v>
      </c>
      <c r="F82" s="768">
        <f>'Section 9 data country'!$H$20</f>
        <v>93.95</v>
      </c>
      <c r="G82" s="768">
        <f>'Section 9 data country'!$M$40</f>
        <v>201.93100000000001</v>
      </c>
      <c r="H82" s="770">
        <f>'Section 9 data country'!$N$40</f>
        <v>15.73</v>
      </c>
    </row>
  </sheetData>
  <mergeCells count="40">
    <mergeCell ref="R7:S7"/>
    <mergeCell ref="P6:Q6"/>
    <mergeCell ref="S6:T6"/>
    <mergeCell ref="R5:T5"/>
    <mergeCell ref="B5:B7"/>
    <mergeCell ref="C5:E5"/>
    <mergeCell ref="F5:H5"/>
    <mergeCell ref="I5:K5"/>
    <mergeCell ref="L5:N5"/>
    <mergeCell ref="O5:Q5"/>
    <mergeCell ref="D6:E6"/>
    <mergeCell ref="G6:H6"/>
    <mergeCell ref="J6:K6"/>
    <mergeCell ref="M6:N6"/>
    <mergeCell ref="C7:D7"/>
    <mergeCell ref="F7:G7"/>
    <mergeCell ref="I7:J7"/>
    <mergeCell ref="L7:M7"/>
    <mergeCell ref="O7:P7"/>
    <mergeCell ref="B25:B27"/>
    <mergeCell ref="C25:E25"/>
    <mergeCell ref="F25:H25"/>
    <mergeCell ref="D26:E26"/>
    <mergeCell ref="G26:H26"/>
    <mergeCell ref="C27:D27"/>
    <mergeCell ref="F27:G27"/>
    <mergeCell ref="B45:B47"/>
    <mergeCell ref="C45:E45"/>
    <mergeCell ref="F45:H45"/>
    <mergeCell ref="D46:E46"/>
    <mergeCell ref="G46:H46"/>
    <mergeCell ref="C47:D47"/>
    <mergeCell ref="F47:G47"/>
    <mergeCell ref="B65:B67"/>
    <mergeCell ref="C65:E65"/>
    <mergeCell ref="F65:H65"/>
    <mergeCell ref="D66:E66"/>
    <mergeCell ref="G66:H66"/>
    <mergeCell ref="C67:D67"/>
    <mergeCell ref="F67:G6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E2162029-F815-4CE0-BC1B-08CDCBAD753C}">
            <xm:f>IF($E8&gt;Sheet1!$F$4,1,)</xm:f>
            <x14:dxf>
              <font>
                <color rgb="FF808080"/>
              </font>
            </x14:dxf>
          </x14:cfRule>
          <xm:sqref>D8:E22</xm:sqref>
        </x14:conditionalFormatting>
        <x14:conditionalFormatting xmlns:xm="http://schemas.microsoft.com/office/excel/2006/main">
          <x14:cfRule type="expression" priority="21" id="{3DFD9E5F-10E4-4A96-8852-DFDF7B794B57}">
            <xm:f>IF($H8&gt;Sheet1!$F$4,1,)</xm:f>
            <x14:dxf>
              <font>
                <color rgb="FF808080"/>
              </font>
            </x14:dxf>
          </x14:cfRule>
          <xm:sqref>G8:H22</xm:sqref>
        </x14:conditionalFormatting>
        <x14:conditionalFormatting xmlns:xm="http://schemas.microsoft.com/office/excel/2006/main">
          <x14:cfRule type="expression" priority="20" id="{F6C37627-9013-4E70-8C4B-D443535141DE}">
            <xm:f>IF($K8&gt;Sheet1!$F$4,1,)</xm:f>
            <x14:dxf>
              <font>
                <color rgb="FF808080"/>
              </font>
            </x14:dxf>
          </x14:cfRule>
          <xm:sqref>J8:K22</xm:sqref>
        </x14:conditionalFormatting>
        <x14:conditionalFormatting xmlns:xm="http://schemas.microsoft.com/office/excel/2006/main">
          <x14:cfRule type="expression" priority="19" id="{91E7BADE-FAEB-477D-AD31-91F1BF4ABE1F}">
            <xm:f>IF($N8&gt;Sheet1!$F$4,1,)</xm:f>
            <x14:dxf>
              <font>
                <color rgb="FF808080"/>
              </font>
            </x14:dxf>
          </x14:cfRule>
          <xm:sqref>M8:N22</xm:sqref>
        </x14:conditionalFormatting>
        <x14:conditionalFormatting xmlns:xm="http://schemas.microsoft.com/office/excel/2006/main">
          <x14:cfRule type="expression" priority="18" id="{14CDA4F9-5F94-44AE-BD4D-515A9F636C33}">
            <xm:f>IF($Q8&gt;Sheet1!$F$4,1,)</xm:f>
            <x14:dxf>
              <font>
                <color rgb="FF808080"/>
              </font>
            </x14:dxf>
          </x14:cfRule>
          <xm:sqref>P8:Q22</xm:sqref>
        </x14:conditionalFormatting>
        <x14:conditionalFormatting xmlns:xm="http://schemas.microsoft.com/office/excel/2006/main">
          <x14:cfRule type="expression" priority="17" id="{7C061A48-CF90-4379-93C8-B5B5218F7BFF}">
            <xm:f>IF($T8&gt;Sheet1!$F$4,1,)</xm:f>
            <x14:dxf>
              <font>
                <color rgb="FF808080"/>
              </font>
            </x14:dxf>
          </x14:cfRule>
          <xm:sqref>S8:T22</xm:sqref>
        </x14:conditionalFormatting>
        <x14:conditionalFormatting xmlns:xm="http://schemas.microsoft.com/office/excel/2006/main">
          <x14:cfRule type="expression" priority="9" id="{EB5EDF41-BB08-42F5-9C83-FF5D08D38A4A}">
            <xm:f>IF($E28&gt;Sheet1!$F$4,1,)</xm:f>
            <x14:dxf>
              <font>
                <color rgb="FF808080"/>
              </font>
            </x14:dxf>
          </x14:cfRule>
          <xm:sqref>D28:E42</xm:sqref>
        </x14:conditionalFormatting>
        <x14:conditionalFormatting xmlns:xm="http://schemas.microsoft.com/office/excel/2006/main">
          <x14:cfRule type="expression" priority="8" id="{CF729E68-F302-4A1B-9DBD-8B35C81DBD52}">
            <xm:f>IF($H28&gt;Sheet1!$F$4,1,)</xm:f>
            <x14:dxf>
              <font>
                <color rgb="FF808080"/>
              </font>
            </x14:dxf>
          </x14:cfRule>
          <xm:sqref>G28:H42</xm:sqref>
        </x14:conditionalFormatting>
        <x14:conditionalFormatting xmlns:xm="http://schemas.microsoft.com/office/excel/2006/main">
          <x14:cfRule type="cellIs" priority="10" operator="between" id="{5A0097B3-8AAF-4E33-AC0E-D4ACBCF55493}">
            <xm:f>Sheet1!$D$4</xm:f>
            <xm:f>Sheet1!$E$4</xm:f>
            <x14:dxf>
              <numFmt numFmtId="173" formatCode="&quot;&lt; 1&quot;"/>
            </x14:dxf>
          </x14:cfRule>
          <xm:sqref>C8:D22 F8:G22 I8:J22 L8:M22 O8:P22 R8:S22</xm:sqref>
        </x14:conditionalFormatting>
        <x14:conditionalFormatting xmlns:xm="http://schemas.microsoft.com/office/excel/2006/main">
          <x14:cfRule type="cellIs" priority="7" operator="between" id="{6226DB5D-82A5-4EE6-92CF-9B1F0B47917B}">
            <xm:f>Sheet1!$D$4</xm:f>
            <xm:f>Sheet1!$E$4</xm:f>
            <x14:dxf>
              <numFmt numFmtId="173" formatCode="&quot;&lt; 1&quot;"/>
            </x14:dxf>
          </x14:cfRule>
          <xm:sqref>C28:D42 F28:G42</xm:sqref>
        </x14:conditionalFormatting>
        <x14:conditionalFormatting xmlns:xm="http://schemas.microsoft.com/office/excel/2006/main">
          <x14:cfRule type="expression" priority="6" id="{C99F767C-30A7-436A-BF9C-F725FB91C6BF}">
            <xm:f>IF($E48&gt;Sheet1!$F$4,1,)</xm:f>
            <x14:dxf>
              <font>
                <color rgb="FF808080"/>
              </font>
            </x14:dxf>
          </x14:cfRule>
          <xm:sqref>D48:E62</xm:sqref>
        </x14:conditionalFormatting>
        <x14:conditionalFormatting xmlns:xm="http://schemas.microsoft.com/office/excel/2006/main">
          <x14:cfRule type="expression" priority="5" id="{FE2024A5-6FFE-4ADA-92A6-54C51690877E}">
            <xm:f>IF($H48&gt;Sheet1!$F$4,1,)</xm:f>
            <x14:dxf>
              <font>
                <color rgb="FF808080"/>
              </font>
            </x14:dxf>
          </x14:cfRule>
          <xm:sqref>G48:H62</xm:sqref>
        </x14:conditionalFormatting>
        <x14:conditionalFormatting xmlns:xm="http://schemas.microsoft.com/office/excel/2006/main">
          <x14:cfRule type="cellIs" priority="4" operator="between" id="{618F0631-25BE-4EA8-BAD0-83ED86601B7D}">
            <xm:f>Sheet1!$D$4</xm:f>
            <xm:f>Sheet1!$E$4</xm:f>
            <x14:dxf>
              <numFmt numFmtId="173" formatCode="&quot;&lt; 1&quot;"/>
            </x14:dxf>
          </x14:cfRule>
          <xm:sqref>C48:D62 F48:G62</xm:sqref>
        </x14:conditionalFormatting>
        <x14:conditionalFormatting xmlns:xm="http://schemas.microsoft.com/office/excel/2006/main">
          <x14:cfRule type="expression" priority="3" id="{996ED5D2-329C-4E71-B08B-F84258A5E25E}">
            <xm:f>IF($E68&gt;Sheet1!$F$4,1,)</xm:f>
            <x14:dxf>
              <font>
                <color rgb="FF808080"/>
              </font>
            </x14:dxf>
          </x14:cfRule>
          <xm:sqref>D68:E82</xm:sqref>
        </x14:conditionalFormatting>
        <x14:conditionalFormatting xmlns:xm="http://schemas.microsoft.com/office/excel/2006/main">
          <x14:cfRule type="expression" priority="2" id="{38D57CB0-D70C-4310-A676-044BB9EBE4B4}">
            <xm:f>IF($H68&gt;Sheet1!$F$4,1,)</xm:f>
            <x14:dxf>
              <font>
                <color rgb="FF808080"/>
              </font>
            </x14:dxf>
          </x14:cfRule>
          <xm:sqref>G68:H82</xm:sqref>
        </x14:conditionalFormatting>
        <x14:conditionalFormatting xmlns:xm="http://schemas.microsoft.com/office/excel/2006/main">
          <x14:cfRule type="cellIs" priority="1" operator="between" id="{82CB9BF6-9166-42E2-854E-9D70FBFE654C}">
            <xm:f>Sheet1!$D$4</xm:f>
            <xm:f>Sheet1!$E$4</xm:f>
            <x14:dxf>
              <numFmt numFmtId="173" formatCode="&quot;&lt; 1&quot;"/>
            </x14:dxf>
          </x14:cfRule>
          <xm:sqref>C68:D82 F68:G82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31" t="s">
        <v>708</v>
      </c>
    </row>
    <row r="3" spans="1:2" ht="18" x14ac:dyDescent="0.25">
      <c r="B3" s="322" t="str">
        <f>Index!$E$100</f>
        <v>50-year softwood forecast</v>
      </c>
    </row>
  </sheetData>
  <hyperlinks>
    <hyperlink ref="A1" location="Index!B70" display="Return to inde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6" baseType="variant">
      <vt:variant>
        <vt:lpstr>Worksheets</vt:lpstr>
      </vt:variant>
      <vt:variant>
        <vt:i4>177</vt:i4>
      </vt:variant>
      <vt:variant>
        <vt:lpstr>Charts</vt:lpstr>
      </vt:variant>
      <vt:variant>
        <vt:i4>248</vt:i4>
      </vt:variant>
      <vt:variant>
        <vt:lpstr>Named Ranges</vt:lpstr>
      </vt:variant>
      <vt:variant>
        <vt:i4>1</vt:i4>
      </vt:variant>
    </vt:vector>
  </HeadingPairs>
  <TitlesOfParts>
    <vt:vector size="426" baseType="lpstr">
      <vt:lpstr>Section 2 data</vt:lpstr>
      <vt:lpstr>Section 2 data country</vt:lpstr>
      <vt:lpstr>Section 3 data</vt:lpstr>
      <vt:lpstr>Section 3 data country</vt:lpstr>
      <vt:lpstr>Section 4 data</vt:lpstr>
      <vt:lpstr>Section 4 data country</vt:lpstr>
      <vt:lpstr>Section 5 data</vt:lpstr>
      <vt:lpstr>Section 5 data country</vt:lpstr>
      <vt:lpstr>Section 6 data</vt:lpstr>
      <vt:lpstr>Section 6 data country</vt:lpstr>
      <vt:lpstr>Section 8 data</vt:lpstr>
      <vt:lpstr>Section 8 data country</vt:lpstr>
      <vt:lpstr>Section 9 chart data</vt:lpstr>
      <vt:lpstr>Section 9 data country</vt:lpstr>
      <vt:lpstr>Section 10 chart data</vt:lpstr>
      <vt:lpstr>Section 10 data country</vt:lpstr>
      <vt:lpstr>Section 11 chart data</vt:lpstr>
      <vt:lpstr>Section 11 data country</vt:lpstr>
      <vt:lpstr>Section 12 data</vt:lpstr>
      <vt:lpstr>Section 12 data country</vt:lpstr>
      <vt:lpstr>Section 13 data</vt:lpstr>
      <vt:lpstr>Section 13 data country</vt:lpstr>
      <vt:lpstr>Section 14 data</vt:lpstr>
      <vt:lpstr>Section 14 data country</vt:lpstr>
      <vt:lpstr>Section 15 data</vt:lpstr>
      <vt:lpstr>Section 15 data country</vt:lpstr>
      <vt:lpstr>Square data</vt:lpstr>
      <vt:lpstr>Management data</vt:lpstr>
      <vt:lpstr>Thinning data</vt:lpstr>
      <vt:lpstr>Harvesting data</vt:lpstr>
      <vt:lpstr>Road distance data</vt:lpstr>
      <vt:lpstr>Road data</vt:lpstr>
      <vt:lpstr>Yield class data</vt:lpstr>
      <vt:lpstr>Key findings</vt:lpstr>
      <vt:lpstr>Index</vt:lpstr>
      <vt:lpstr>Section 1</vt:lpstr>
      <vt:lpstr>Table 1</vt:lpstr>
      <vt:lpstr>Table 2</vt:lpstr>
      <vt:lpstr>Eng Table 3</vt:lpstr>
      <vt:lpstr>Eng Table 4</vt:lpstr>
      <vt:lpstr>Eng Table 5</vt:lpstr>
      <vt:lpstr>Eng Table 6</vt:lpstr>
      <vt:lpstr>Eng Table 7</vt:lpstr>
      <vt:lpstr>Eng Table 8</vt:lpstr>
      <vt:lpstr>Eng Table 9</vt:lpstr>
      <vt:lpstr>Section 2</vt:lpstr>
      <vt:lpstr>Eng Table 10</vt:lpstr>
      <vt:lpstr>Eng Table 11</vt:lpstr>
      <vt:lpstr>Eng Table 12</vt:lpstr>
      <vt:lpstr>Eng Table 13</vt:lpstr>
      <vt:lpstr>Eng Table 14</vt:lpstr>
      <vt:lpstr>Eng Table 15</vt:lpstr>
      <vt:lpstr>Eng Table 16</vt:lpstr>
      <vt:lpstr>Eng Table 17</vt:lpstr>
      <vt:lpstr>Section 3</vt:lpstr>
      <vt:lpstr>Eng Table 18</vt:lpstr>
      <vt:lpstr>Eng Table 19</vt:lpstr>
      <vt:lpstr>Eng Table 20</vt:lpstr>
      <vt:lpstr>Eng Table 21</vt:lpstr>
      <vt:lpstr>Eng Table 22</vt:lpstr>
      <vt:lpstr>Eng Table 23</vt:lpstr>
      <vt:lpstr>Section 4</vt:lpstr>
      <vt:lpstr>Eng Table 24</vt:lpstr>
      <vt:lpstr>Eng Table 25</vt:lpstr>
      <vt:lpstr>Eng Table 26</vt:lpstr>
      <vt:lpstr>Eng Table 27</vt:lpstr>
      <vt:lpstr>Eng Table 28</vt:lpstr>
      <vt:lpstr>Eng Table 29</vt:lpstr>
      <vt:lpstr>Section 5</vt:lpstr>
      <vt:lpstr>Eng Table 30</vt:lpstr>
      <vt:lpstr>Eng Table 31</vt:lpstr>
      <vt:lpstr>Eng Table 32</vt:lpstr>
      <vt:lpstr>Eng Table 33</vt:lpstr>
      <vt:lpstr>Section 6</vt:lpstr>
      <vt:lpstr>Eng Table 34</vt:lpstr>
      <vt:lpstr>Eng Table 35</vt:lpstr>
      <vt:lpstr>Eng Table 36</vt:lpstr>
      <vt:lpstr>Eng Table 37</vt:lpstr>
      <vt:lpstr>Section 7</vt:lpstr>
      <vt:lpstr>Eng Table 38</vt:lpstr>
      <vt:lpstr>Eng Table 39</vt:lpstr>
      <vt:lpstr>Section 8</vt:lpstr>
      <vt:lpstr>Eng Table 40</vt:lpstr>
      <vt:lpstr>Eng Table 41</vt:lpstr>
      <vt:lpstr>Eng Table 42</vt:lpstr>
      <vt:lpstr>Eng Table 43</vt:lpstr>
      <vt:lpstr>Eng Table 44</vt:lpstr>
      <vt:lpstr>Eng Table 45</vt:lpstr>
      <vt:lpstr>Eng Table 46</vt:lpstr>
      <vt:lpstr>Eng Table 47</vt:lpstr>
      <vt:lpstr>Section 9</vt:lpstr>
      <vt:lpstr>Eng Table 48</vt:lpstr>
      <vt:lpstr>Eng Table 49</vt:lpstr>
      <vt:lpstr>Eng Table 50</vt:lpstr>
      <vt:lpstr>Eng Table 51</vt:lpstr>
      <vt:lpstr>Eng Table 52</vt:lpstr>
      <vt:lpstr>Eng Table 53</vt:lpstr>
      <vt:lpstr>Eng Table 54</vt:lpstr>
      <vt:lpstr>Section 10</vt:lpstr>
      <vt:lpstr>Eng Table 55</vt:lpstr>
      <vt:lpstr>Eng Table 56</vt:lpstr>
      <vt:lpstr>Eng Table 57</vt:lpstr>
      <vt:lpstr>Eng Table 58</vt:lpstr>
      <vt:lpstr>Eng Table 59</vt:lpstr>
      <vt:lpstr>Eng Table 60</vt:lpstr>
      <vt:lpstr>Section 11</vt:lpstr>
      <vt:lpstr>Eng Table 61</vt:lpstr>
      <vt:lpstr>Eng Table 62</vt:lpstr>
      <vt:lpstr>Eng Table 63</vt:lpstr>
      <vt:lpstr>Eng Table 64</vt:lpstr>
      <vt:lpstr>Eng Table 65</vt:lpstr>
      <vt:lpstr>Eng Table 66</vt:lpstr>
      <vt:lpstr>Eng Table 67</vt:lpstr>
      <vt:lpstr>Eng Table 68</vt:lpstr>
      <vt:lpstr>Section 12</vt:lpstr>
      <vt:lpstr>Eng Table 69</vt:lpstr>
      <vt:lpstr>Eng Table 70</vt:lpstr>
      <vt:lpstr>Eng Table 71</vt:lpstr>
      <vt:lpstr>Eng Table 72</vt:lpstr>
      <vt:lpstr>Eng Table 73</vt:lpstr>
      <vt:lpstr>Eng Table 74</vt:lpstr>
      <vt:lpstr>Eng Table 75</vt:lpstr>
      <vt:lpstr>Eng Table 76</vt:lpstr>
      <vt:lpstr>Eng Table 77</vt:lpstr>
      <vt:lpstr>Section 13</vt:lpstr>
      <vt:lpstr>Eng Table 78</vt:lpstr>
      <vt:lpstr>Eng Table 79</vt:lpstr>
      <vt:lpstr>Table 80</vt:lpstr>
      <vt:lpstr>Eng Table 81</vt:lpstr>
      <vt:lpstr>Eng Table 82</vt:lpstr>
      <vt:lpstr>Eng Table 83</vt:lpstr>
      <vt:lpstr>Eng Table 84</vt:lpstr>
      <vt:lpstr>Eng Table 85</vt:lpstr>
      <vt:lpstr>Eng Table 86</vt:lpstr>
      <vt:lpstr>Section 14</vt:lpstr>
      <vt:lpstr>Eng Table 87</vt:lpstr>
      <vt:lpstr>Table 88</vt:lpstr>
      <vt:lpstr>Table 89</vt:lpstr>
      <vt:lpstr>Eng Table 90</vt:lpstr>
      <vt:lpstr>Table 91</vt:lpstr>
      <vt:lpstr>Eng Table 92</vt:lpstr>
      <vt:lpstr>Eng Table 93</vt:lpstr>
      <vt:lpstr>Eng Table 94</vt:lpstr>
      <vt:lpstr>Eng Table 95</vt:lpstr>
      <vt:lpstr>Section 15</vt:lpstr>
      <vt:lpstr>Table 96</vt:lpstr>
      <vt:lpstr>Table 97</vt:lpstr>
      <vt:lpstr>Table 98</vt:lpstr>
      <vt:lpstr>Table 99</vt:lpstr>
      <vt:lpstr>Eng Table 100</vt:lpstr>
      <vt:lpstr>Eng Table 101</vt:lpstr>
      <vt:lpstr>Eng Table 102</vt:lpstr>
      <vt:lpstr>Eng Table 103</vt:lpstr>
      <vt:lpstr>Eng Table 104 </vt:lpstr>
      <vt:lpstr>Appendix</vt:lpstr>
      <vt:lpstr>Eng Table 105</vt:lpstr>
      <vt:lpstr>Sheet1</vt:lpstr>
      <vt:lpstr>ignore</vt:lpstr>
      <vt:lpstr>Table 12</vt:lpstr>
      <vt:lpstr>Table 33 (3)</vt:lpstr>
      <vt:lpstr>Table 12 country (4)</vt:lpstr>
      <vt:lpstr>Table 9 country (5)</vt:lpstr>
      <vt:lpstr>Table 12 country (5)</vt:lpstr>
      <vt:lpstr>Section 7 data country</vt:lpstr>
      <vt:lpstr>Tables</vt:lpstr>
      <vt:lpstr>Table 50</vt:lpstr>
      <vt:lpstr>Table 51</vt:lpstr>
      <vt:lpstr>Table 52</vt:lpstr>
      <vt:lpstr>Table 59</vt:lpstr>
      <vt:lpstr>Table 60</vt:lpstr>
      <vt:lpstr>Table 61</vt:lpstr>
      <vt:lpstr>Table 68</vt:lpstr>
      <vt:lpstr>Table 69</vt:lpstr>
      <vt:lpstr>Table 70</vt:lpstr>
      <vt:lpstr>Table 77</vt:lpstr>
      <vt:lpstr>Table 78</vt:lpstr>
      <vt:lpstr>Table 79</vt:lpstr>
      <vt:lpstr>Figure 1</vt:lpstr>
      <vt:lpstr>Figure 1 report</vt:lpstr>
      <vt:lpstr>Figure 2</vt:lpstr>
      <vt:lpstr>Figure 2 report</vt:lpstr>
      <vt:lpstr>Eng Figure 3</vt:lpstr>
      <vt:lpstr>Eng Figure 3 report</vt:lpstr>
      <vt:lpstr>Eng Figure 4</vt:lpstr>
      <vt:lpstr>Eng Figure 4 report</vt:lpstr>
      <vt:lpstr>Eng Figure 5 notused</vt:lpstr>
      <vt:lpstr>Eng Figure 5 report notused</vt:lpstr>
      <vt:lpstr>Eng Figure 5</vt:lpstr>
      <vt:lpstr>Eng Figure 5 report</vt:lpstr>
      <vt:lpstr>Eng Figure 6</vt:lpstr>
      <vt:lpstr>Eng Figure 6 report</vt:lpstr>
      <vt:lpstr>Eng Figure 7</vt:lpstr>
      <vt:lpstr>Eng Figure 7 report</vt:lpstr>
      <vt:lpstr>Eng Figure 8</vt:lpstr>
      <vt:lpstr>Eng Figure 8 report</vt:lpstr>
      <vt:lpstr>Eng Figure 9</vt:lpstr>
      <vt:lpstr>Eng Figure 9 report</vt:lpstr>
      <vt:lpstr>Eng Figure 10</vt:lpstr>
      <vt:lpstr>Eng Figure 10 report</vt:lpstr>
      <vt:lpstr>Eng Figure 11</vt:lpstr>
      <vt:lpstr>Eng Figure 11 report</vt:lpstr>
      <vt:lpstr>Eng Figure 12</vt:lpstr>
      <vt:lpstr>Eng Figure 12 report</vt:lpstr>
      <vt:lpstr>Eng Figure 13</vt:lpstr>
      <vt:lpstr>Eng Figure 13 report</vt:lpstr>
      <vt:lpstr>Eng Figure 14</vt:lpstr>
      <vt:lpstr>Eng Figure 14 report</vt:lpstr>
      <vt:lpstr>Eng Figure 15</vt:lpstr>
      <vt:lpstr>Eng Figure 15 report</vt:lpstr>
      <vt:lpstr>Eng Figure 16</vt:lpstr>
      <vt:lpstr>Eng Figure 16 report</vt:lpstr>
      <vt:lpstr>Eng Figure 17</vt:lpstr>
      <vt:lpstr>Eng Figure 17 report</vt:lpstr>
      <vt:lpstr>Eng Figure 18</vt:lpstr>
      <vt:lpstr>Eng Figure 18 report</vt:lpstr>
      <vt:lpstr>Eng Figure 19</vt:lpstr>
      <vt:lpstr>Eng Figure 19 report</vt:lpstr>
      <vt:lpstr>Eng Figure 20</vt:lpstr>
      <vt:lpstr>Eng Figure 20 report</vt:lpstr>
      <vt:lpstr>Eng Figure 21</vt:lpstr>
      <vt:lpstr>Eng Figure 21 report</vt:lpstr>
      <vt:lpstr>Eng Figure 22</vt:lpstr>
      <vt:lpstr>Eng Figure 22 report</vt:lpstr>
      <vt:lpstr>Eng Figure 23</vt:lpstr>
      <vt:lpstr>Eng Figure 23 report</vt:lpstr>
      <vt:lpstr>Eng Figure 24</vt:lpstr>
      <vt:lpstr>Eng Figure 24 report</vt:lpstr>
      <vt:lpstr>Eng Figure 25</vt:lpstr>
      <vt:lpstr>Eng Figure 25 report</vt:lpstr>
      <vt:lpstr>Eng Figure 26</vt:lpstr>
      <vt:lpstr>Eng Figure 26  report</vt:lpstr>
      <vt:lpstr>Eng Figure 27</vt:lpstr>
      <vt:lpstr>Eng Figure 27 report</vt:lpstr>
      <vt:lpstr>Eng Figure 28</vt:lpstr>
      <vt:lpstr>Eng Figure 28 report</vt:lpstr>
      <vt:lpstr>Eng Figure 29</vt:lpstr>
      <vt:lpstr>Eng Figure 29 report</vt:lpstr>
      <vt:lpstr>Eng Figure 30</vt:lpstr>
      <vt:lpstr>Eng Figure 30 report</vt:lpstr>
      <vt:lpstr>Eng Figure 31</vt:lpstr>
      <vt:lpstr>Eng Figure 31 report</vt:lpstr>
      <vt:lpstr>Eng Figure 32</vt:lpstr>
      <vt:lpstr>Eng Figure 32 report</vt:lpstr>
      <vt:lpstr>Eng Figure 33</vt:lpstr>
      <vt:lpstr>Eng Figure 33 report</vt:lpstr>
      <vt:lpstr>Eng Figure 34</vt:lpstr>
      <vt:lpstr>Eng Figure 34 report</vt:lpstr>
      <vt:lpstr>Eng Figure 35</vt:lpstr>
      <vt:lpstr>Eng Figure 35 report</vt:lpstr>
      <vt:lpstr>Eng Figure 36</vt:lpstr>
      <vt:lpstr>Eng Figure 36 report</vt:lpstr>
      <vt:lpstr>Eng Figure 37</vt:lpstr>
      <vt:lpstr>Eng Figure 37 report</vt:lpstr>
      <vt:lpstr>Eng Figure 38</vt:lpstr>
      <vt:lpstr>Eng Figure 38 report</vt:lpstr>
      <vt:lpstr>Eng Figure 39</vt:lpstr>
      <vt:lpstr>Eng Figure 39 report</vt:lpstr>
      <vt:lpstr>Eng Figure 40</vt:lpstr>
      <vt:lpstr>Eng Figure 40 report</vt:lpstr>
      <vt:lpstr>Eng Figure 41</vt:lpstr>
      <vt:lpstr>Eng Figure 41 report</vt:lpstr>
      <vt:lpstr>Eng Figure 42</vt:lpstr>
      <vt:lpstr>Eng Figure 42 report</vt:lpstr>
      <vt:lpstr>Eng Figure 43</vt:lpstr>
      <vt:lpstr>Eng Figure 43 report</vt:lpstr>
      <vt:lpstr>Eng Figure 44</vt:lpstr>
      <vt:lpstr>Eng Figure 44 report</vt:lpstr>
      <vt:lpstr>Eng Figure 45</vt:lpstr>
      <vt:lpstr>Eng Figure 45 report</vt:lpstr>
      <vt:lpstr>Eng Figure 46</vt:lpstr>
      <vt:lpstr>Eng Figure 46 report</vt:lpstr>
      <vt:lpstr>Eng Figure 47</vt:lpstr>
      <vt:lpstr>Eng Figure 47 report</vt:lpstr>
      <vt:lpstr>Eng Figure 48</vt:lpstr>
      <vt:lpstr>Eng Figure 48 report</vt:lpstr>
      <vt:lpstr>Eng Figure 49</vt:lpstr>
      <vt:lpstr>Eng Figure 49 report</vt:lpstr>
      <vt:lpstr>Eng Figure 50</vt:lpstr>
      <vt:lpstr>Eng Figure 50 report</vt:lpstr>
      <vt:lpstr>Eng Figure 51</vt:lpstr>
      <vt:lpstr>Eng Figure 51 report</vt:lpstr>
      <vt:lpstr>Eng Figure 52</vt:lpstr>
      <vt:lpstr>Eng Figure 52 report</vt:lpstr>
      <vt:lpstr>Eng Figure 53</vt:lpstr>
      <vt:lpstr>Eng Figure 53 report</vt:lpstr>
      <vt:lpstr>Eng Figure 54</vt:lpstr>
      <vt:lpstr>Eng Figure 54 report</vt:lpstr>
      <vt:lpstr>Eng Figure 55</vt:lpstr>
      <vt:lpstr>Eng Figure 55 report</vt:lpstr>
      <vt:lpstr>Eng Figure 56</vt:lpstr>
      <vt:lpstr>Eng Figure 56 report</vt:lpstr>
      <vt:lpstr>Eng Figure 57</vt:lpstr>
      <vt:lpstr>Eng Figure 57 report</vt:lpstr>
      <vt:lpstr>Eng Figure 58</vt:lpstr>
      <vt:lpstr>Eng Figure 58 report</vt:lpstr>
      <vt:lpstr>Eng Figure 59</vt:lpstr>
      <vt:lpstr>Eng Figure 59 report</vt:lpstr>
      <vt:lpstr>Eng Figure 60</vt:lpstr>
      <vt:lpstr>Eng Figure 60 report</vt:lpstr>
      <vt:lpstr>Eng Figure 61</vt:lpstr>
      <vt:lpstr>Eng Figure 61 report</vt:lpstr>
      <vt:lpstr>Eng Figure 62</vt:lpstr>
      <vt:lpstr>Eng Figure 62 report</vt:lpstr>
      <vt:lpstr>Eng Figure 63</vt:lpstr>
      <vt:lpstr>Eng Figure 63 report</vt:lpstr>
      <vt:lpstr>Eng Figure 64</vt:lpstr>
      <vt:lpstr>Eng Figure 64 report</vt:lpstr>
      <vt:lpstr>Eng Figure 65</vt:lpstr>
      <vt:lpstr>Eng Figure 65 report</vt:lpstr>
      <vt:lpstr>Eng Figure 66</vt:lpstr>
      <vt:lpstr>Eng Figure 66 report</vt:lpstr>
      <vt:lpstr>Eng Figure 67</vt:lpstr>
      <vt:lpstr>Eng Figure 67 report</vt:lpstr>
      <vt:lpstr>Eng Figure 68</vt:lpstr>
      <vt:lpstr>Eng Figure 68 report</vt:lpstr>
      <vt:lpstr>Eng Figure 69</vt:lpstr>
      <vt:lpstr>Eng Figure 69 report</vt:lpstr>
      <vt:lpstr>Eng Figure 70</vt:lpstr>
      <vt:lpstr>Eng Figure 70 report</vt:lpstr>
      <vt:lpstr>Eng Figure 71</vt:lpstr>
      <vt:lpstr>Eng Figure 71 report</vt:lpstr>
      <vt:lpstr>Eng Figure 72</vt:lpstr>
      <vt:lpstr>Eng Figure 72 report</vt:lpstr>
      <vt:lpstr>Eng Figure 73</vt:lpstr>
      <vt:lpstr>Eng Figure 73 report</vt:lpstr>
      <vt:lpstr>Eng Figure 74</vt:lpstr>
      <vt:lpstr>Eng Figure 74 report</vt:lpstr>
      <vt:lpstr>Eng Figure 75</vt:lpstr>
      <vt:lpstr>Eng Figure 75 report</vt:lpstr>
      <vt:lpstr>Eng Figure 76</vt:lpstr>
      <vt:lpstr>Eng Figure 76 report</vt:lpstr>
      <vt:lpstr>Eng Figure 77</vt:lpstr>
      <vt:lpstr>Eng Figure 77 report</vt:lpstr>
      <vt:lpstr>Eng Figure 78</vt:lpstr>
      <vt:lpstr>Eng Figure 78 report</vt:lpstr>
      <vt:lpstr>Eng Figure 79</vt:lpstr>
      <vt:lpstr>Eng Figure 79 report</vt:lpstr>
      <vt:lpstr>Eng Figure 80</vt:lpstr>
      <vt:lpstr>Eng Figure 80 report</vt:lpstr>
      <vt:lpstr>Eng Figure 81</vt:lpstr>
      <vt:lpstr>Eng Figure 81 report</vt:lpstr>
      <vt:lpstr>Eng Figure 82</vt:lpstr>
      <vt:lpstr>Eng Figure 82 report</vt:lpstr>
      <vt:lpstr>Eng Figure 83</vt:lpstr>
      <vt:lpstr>Eng Figure 83 report</vt:lpstr>
      <vt:lpstr>Eng Figure 84</vt:lpstr>
      <vt:lpstr>Eng Figure 84 report</vt:lpstr>
      <vt:lpstr>Eng Figure 85</vt:lpstr>
      <vt:lpstr>Eng Figure 85 report</vt:lpstr>
      <vt:lpstr>Eng Figure 86</vt:lpstr>
      <vt:lpstr>Eng Figure 86 report</vt:lpstr>
      <vt:lpstr>Eng Figure 87</vt:lpstr>
      <vt:lpstr>Eng Figure 87 report</vt:lpstr>
      <vt:lpstr>Eng Figure 88</vt:lpstr>
      <vt:lpstr>Eng Figure 88 report</vt:lpstr>
      <vt:lpstr>Eng Figure 89</vt:lpstr>
      <vt:lpstr>Eng Figure 89 report</vt:lpstr>
      <vt:lpstr>Eng Figure 90</vt:lpstr>
      <vt:lpstr>Eng Figure 90 report</vt:lpstr>
      <vt:lpstr>Eng Figure 91</vt:lpstr>
      <vt:lpstr>Eng Figure 91 report</vt:lpstr>
      <vt:lpstr>Eng Figure 92</vt:lpstr>
      <vt:lpstr>Eng Figure 92 report</vt:lpstr>
      <vt:lpstr>Eng Figure 93</vt:lpstr>
      <vt:lpstr>Eng Figure 93 report</vt:lpstr>
      <vt:lpstr>Eng Figure 94</vt:lpstr>
      <vt:lpstr>Eng Figure 94 report</vt:lpstr>
      <vt:lpstr>Eng Figure 95</vt:lpstr>
      <vt:lpstr>Eng Figure 95 report</vt:lpstr>
      <vt:lpstr>Eng Figure 96</vt:lpstr>
      <vt:lpstr>Eng Figure 96 report</vt:lpstr>
      <vt:lpstr>Eng Figure 97</vt:lpstr>
      <vt:lpstr>Eng Figure 97 report</vt:lpstr>
      <vt:lpstr>Eng Figure 98</vt:lpstr>
      <vt:lpstr>Eng Figure 98 report</vt:lpstr>
      <vt:lpstr>Eng Figure 99</vt:lpstr>
      <vt:lpstr>Eng Figure 99 report</vt:lpstr>
      <vt:lpstr>Eng Figure 100</vt:lpstr>
      <vt:lpstr>Eng Figure 100 report</vt:lpstr>
      <vt:lpstr>Eng Figure 101</vt:lpstr>
      <vt:lpstr>Eng Figure 101 report</vt:lpstr>
      <vt:lpstr>Eng Figure 102</vt:lpstr>
      <vt:lpstr>Eng Figure 102  report</vt:lpstr>
      <vt:lpstr>Eng Figure 103</vt:lpstr>
      <vt:lpstr>Eng Figure 103 report</vt:lpstr>
      <vt:lpstr>Eng Figure 104</vt:lpstr>
      <vt:lpstr>Eng Figure 104 report</vt:lpstr>
      <vt:lpstr>Eng Figure 105</vt:lpstr>
      <vt:lpstr>Eng Figure 105 report</vt:lpstr>
      <vt:lpstr>Eng Figure 106</vt:lpstr>
      <vt:lpstr>Eng Figure 106 report</vt:lpstr>
      <vt:lpstr>Eng Figure 107</vt:lpstr>
      <vt:lpstr>Eng Figure 107 report</vt:lpstr>
      <vt:lpstr>Eng Figure 108</vt:lpstr>
      <vt:lpstr>Eng Figure 108 report</vt:lpstr>
      <vt:lpstr>Eng Figure 109</vt:lpstr>
      <vt:lpstr>Eng Figure 109 report</vt:lpstr>
      <vt:lpstr>Figure 71</vt:lpstr>
      <vt:lpstr>Figure 71 report</vt:lpstr>
      <vt:lpstr>Eng Figure 111</vt:lpstr>
      <vt:lpstr>Eng Figure 111 report</vt:lpstr>
      <vt:lpstr>Eng Figure 112</vt:lpstr>
      <vt:lpstr>Eng Figure 112 report</vt:lpstr>
      <vt:lpstr>Eng Figure 113</vt:lpstr>
      <vt:lpstr>Eng Figure 113 report</vt:lpstr>
      <vt:lpstr>Eng Figure 114</vt:lpstr>
      <vt:lpstr>Eng Figure 114 report</vt:lpstr>
      <vt:lpstr>Eng Figure 115</vt:lpstr>
      <vt:lpstr>Eng Figure 115 report</vt:lpstr>
      <vt:lpstr>Eng Figure 116</vt:lpstr>
      <vt:lpstr>Eng Figure 116 report</vt:lpstr>
      <vt:lpstr>Eng Figure 117</vt:lpstr>
      <vt:lpstr>Eng Figure 117 report</vt:lpstr>
      <vt:lpstr>Eng Figure 118</vt:lpstr>
      <vt:lpstr>Eng Figure 118 report</vt:lpstr>
      <vt:lpstr>Chart1d (4)</vt:lpstr>
      <vt:lpstr>Chart1d (7) for report</vt:lpstr>
      <vt:lpstr>Chart1a (5)</vt:lpstr>
      <vt:lpstr>Chart1a (10) for report</vt:lpstr>
      <vt:lpstr>Chart1b (5)</vt:lpstr>
      <vt:lpstr>Chart1b (10) for report</vt:lpstr>
      <vt:lpstr>Chart1c (5)</vt:lpstr>
      <vt:lpstr>Chart1c (10) for report</vt:lpstr>
      <vt:lpstr>Chart1d (5)</vt:lpstr>
      <vt:lpstr>Chart1d (11)</vt:lpstr>
      <vt:lpstr>Table_2_area</vt:lpstr>
    </vt:vector>
  </TitlesOfParts>
  <Company>Forestry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Halsall, Lesley</dc:creator>
  <cp:keywords>NFI, woodland, forestry, forecasting, carbon, biomass, timber production, timber volumes, Forest Research, Forestry Commission, England</cp:keywords>
  <cp:lastModifiedBy>Cameron, Shona</cp:lastModifiedBy>
  <cp:lastPrinted>2016-12-14T11:08:15Z</cp:lastPrinted>
  <dcterms:created xsi:type="dcterms:W3CDTF">2016-08-30T06:54:22Z</dcterms:created>
  <dcterms:modified xsi:type="dcterms:W3CDTF">2017-03-30T18:28:45Z</dcterms:modified>
</cp:coreProperties>
</file>